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628"/>
  <workbookPr defaultThemeVersion="166925"/>
  <mc:AlternateContent xmlns:mc="http://schemas.openxmlformats.org/markup-compatibility/2006">
    <mc:Choice Requires="x15">
      <x15ac:absPath xmlns:x15ac="http://schemas.microsoft.com/office/spreadsheetml/2010/11/ac" url="C:\Users\P1332689\Downloads\"/>
    </mc:Choice>
  </mc:AlternateContent>
  <xr:revisionPtr revIDLastSave="13" documentId="11_26A6E8E2C5C14DD6F60B391CA624753127381305" xr6:coauthVersionLast="47" xr6:coauthVersionMax="47" xr10:uidLastSave="{D3BAC6C5-FFF8-4F8C-AC81-B387B1F7EACD}"/>
  <bookViews>
    <workbookView xWindow="0" yWindow="0" windowWidth="10710" windowHeight="6970" firstSheet="3" activeTab="3" xr2:uid="{00000000-000D-0000-FFFF-FFFF00000000}"/>
  </bookViews>
  <sheets>
    <sheet name="Summary" sheetId="18" r:id="rId1"/>
    <sheet name="Main Page" sheetId="15" state="hidden" r:id="rId2"/>
    <sheet name="SGUT_P" sheetId="19" r:id="rId3"/>
    <sheet name="Data Analytics Consultant" sheetId="1" r:id="rId4"/>
    <sheet name="Java  .NET Software Engineer" sheetId="2" r:id="rId5"/>
    <sheet name="System Engineer" sheetId="3" r:id="rId6"/>
    <sheet name="Helpdesk Engineer" sheetId="16" r:id="rId7"/>
    <sheet name="Network Engineer" sheetId="4" r:id="rId8"/>
    <sheet name="Data Management Consultant" sheetId="5" r:id="rId9"/>
    <sheet name="Java_.NET Software Engineer" sheetId="6" r:id="rId10"/>
    <sheet name="Project Manager" sheetId="7" r:id="rId11"/>
    <sheet name="PKI_IAM Security Consultant" sheetId="8" r:id="rId12"/>
    <sheet name="Systems_Network IT Security" sheetId="9" r:id="rId13"/>
    <sheet name="GRC Security Consultant" sheetId="10" r:id="rId14"/>
    <sheet name="T_DevOps_Cloud Ops Engineer" sheetId="11" r:id="rId15"/>
    <sheet name="T_System Engineer" sheetId="12" r:id="rId16"/>
    <sheet name="T_Associate Network Consultant" sheetId="13" r:id="rId17"/>
    <sheet name="T_Associate Business Analyst " sheetId="14" r:id="rId1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19" i="18" l="1"/>
  <c r="U19" i="18"/>
  <c r="T19" i="18"/>
  <c r="S19" i="18"/>
  <c r="R19" i="18"/>
  <c r="Q19" i="18"/>
  <c r="P19" i="18"/>
  <c r="O19" i="18"/>
  <c r="N19" i="18"/>
  <c r="O18" i="18"/>
  <c r="P18" i="18"/>
  <c r="Q18" i="18"/>
  <c r="R18" i="18"/>
  <c r="S18" i="18"/>
  <c r="T18" i="18"/>
  <c r="U18" i="18"/>
  <c r="V18" i="18"/>
  <c r="L19" i="18"/>
  <c r="K19" i="18"/>
  <c r="J19" i="18"/>
  <c r="G19" i="18"/>
  <c r="F19" i="18"/>
  <c r="M3" i="19"/>
  <c r="M2" i="19"/>
  <c r="H19" i="18" l="1"/>
  <c r="M19" i="18"/>
  <c r="V17" i="18" l="1"/>
  <c r="V16" i="18"/>
  <c r="V15" i="18"/>
  <c r="V14" i="18"/>
  <c r="V13" i="18"/>
  <c r="V12" i="18"/>
  <c r="V11" i="18"/>
  <c r="V10" i="18"/>
  <c r="V9" i="18"/>
  <c r="U17" i="18"/>
  <c r="U16" i="18"/>
  <c r="U15" i="18"/>
  <c r="U14" i="18"/>
  <c r="U13" i="18"/>
  <c r="U12" i="18"/>
  <c r="U11" i="18"/>
  <c r="U10" i="18"/>
  <c r="U9" i="18"/>
  <c r="T17" i="18"/>
  <c r="T16" i="18"/>
  <c r="T15" i="18"/>
  <c r="T14" i="18"/>
  <c r="T13" i="18"/>
  <c r="T12" i="18"/>
  <c r="T11" i="18"/>
  <c r="T10" i="18"/>
  <c r="T9" i="18"/>
  <c r="S17" i="18"/>
  <c r="S16" i="18"/>
  <c r="S15" i="18"/>
  <c r="S14" i="18"/>
  <c r="S13" i="18"/>
  <c r="S12" i="18"/>
  <c r="S11" i="18"/>
  <c r="S10" i="18"/>
  <c r="S9" i="18"/>
  <c r="R17" i="18"/>
  <c r="R16" i="18"/>
  <c r="R15" i="18"/>
  <c r="R14" i="18"/>
  <c r="R13" i="18"/>
  <c r="R12" i="18"/>
  <c r="R11" i="18"/>
  <c r="R10" i="18"/>
  <c r="R9" i="18"/>
  <c r="Q17" i="18"/>
  <c r="Q16" i="18"/>
  <c r="Q15" i="18"/>
  <c r="Q14" i="18"/>
  <c r="Q13" i="18"/>
  <c r="Q12" i="18"/>
  <c r="Q11" i="18"/>
  <c r="Q10" i="18"/>
  <c r="Q9" i="18"/>
  <c r="P17" i="18"/>
  <c r="P16" i="18"/>
  <c r="P15" i="18"/>
  <c r="P14" i="18"/>
  <c r="P13" i="18"/>
  <c r="P12" i="18"/>
  <c r="P11" i="18"/>
  <c r="P10" i="18"/>
  <c r="P9" i="18"/>
  <c r="O17" i="18"/>
  <c r="O16" i="18"/>
  <c r="O15" i="18"/>
  <c r="O14" i="18"/>
  <c r="O13" i="18"/>
  <c r="O12" i="18"/>
  <c r="O11" i="18"/>
  <c r="O10" i="18"/>
  <c r="O9" i="18"/>
  <c r="N18" i="18"/>
  <c r="N17" i="18"/>
  <c r="N16" i="18"/>
  <c r="N15" i="18"/>
  <c r="N14" i="18"/>
  <c r="N13" i="18"/>
  <c r="N12" i="18"/>
  <c r="N11" i="18"/>
  <c r="N10" i="18"/>
  <c r="N9" i="18"/>
  <c r="L18" i="18"/>
  <c r="L17" i="18"/>
  <c r="L16" i="18"/>
  <c r="L15" i="18"/>
  <c r="L14" i="18"/>
  <c r="L13" i="18"/>
  <c r="L12" i="18"/>
  <c r="L11" i="18"/>
  <c r="L10" i="18"/>
  <c r="L9" i="18"/>
  <c r="K18" i="18"/>
  <c r="K17" i="18"/>
  <c r="K16" i="18"/>
  <c r="K15" i="18"/>
  <c r="K14" i="18"/>
  <c r="K13" i="18"/>
  <c r="K12" i="18"/>
  <c r="K11" i="18"/>
  <c r="K10" i="18"/>
  <c r="K9" i="18"/>
  <c r="J18" i="18"/>
  <c r="J17" i="18"/>
  <c r="J16" i="18"/>
  <c r="J15" i="18"/>
  <c r="J14" i="18"/>
  <c r="J13" i="18"/>
  <c r="J12" i="18"/>
  <c r="J11" i="18"/>
  <c r="J10" i="18"/>
  <c r="J9" i="18"/>
  <c r="F9" i="18"/>
  <c r="F10" i="18"/>
  <c r="F11" i="18"/>
  <c r="F12" i="18"/>
  <c r="F13" i="18"/>
  <c r="F14" i="18"/>
  <c r="F15" i="18"/>
  <c r="F16" i="18"/>
  <c r="F17" i="18"/>
  <c r="F18" i="18"/>
  <c r="G18" i="18"/>
  <c r="G17" i="18"/>
  <c r="G16" i="18"/>
  <c r="G15" i="18"/>
  <c r="G14" i="18"/>
  <c r="G13" i="18"/>
  <c r="G12" i="18"/>
  <c r="G11" i="18"/>
  <c r="G10" i="18"/>
  <c r="G9" i="18"/>
  <c r="V8" i="18"/>
  <c r="U8" i="18"/>
  <c r="T8" i="18"/>
  <c r="S8" i="18"/>
  <c r="R8" i="18"/>
  <c r="Q8" i="18"/>
  <c r="P8" i="18"/>
  <c r="O8" i="18"/>
  <c r="N8" i="18"/>
  <c r="L8" i="18"/>
  <c r="K8" i="18"/>
  <c r="J8" i="18"/>
  <c r="F8" i="18"/>
  <c r="G8" i="18"/>
  <c r="G7" i="18"/>
  <c r="F7" i="18"/>
  <c r="V7" i="18"/>
  <c r="U7" i="18"/>
  <c r="T7" i="18"/>
  <c r="S7" i="18"/>
  <c r="R7" i="18"/>
  <c r="Q7" i="18"/>
  <c r="P7" i="18"/>
  <c r="O7" i="18"/>
  <c r="N7" i="18"/>
  <c r="L7" i="18"/>
  <c r="K7" i="18"/>
  <c r="J7" i="18"/>
  <c r="V6" i="18"/>
  <c r="U6" i="18"/>
  <c r="T6" i="18"/>
  <c r="S6" i="18"/>
  <c r="R6" i="18"/>
  <c r="Q6" i="18"/>
  <c r="O6" i="18"/>
  <c r="O5" i="18"/>
  <c r="P6" i="18"/>
  <c r="N6" i="18"/>
  <c r="L6" i="18"/>
  <c r="K6" i="18"/>
  <c r="J6" i="18"/>
  <c r="J5" i="18"/>
  <c r="G6" i="18"/>
  <c r="F6" i="18"/>
  <c r="V5" i="18"/>
  <c r="U5" i="18"/>
  <c r="T5" i="18"/>
  <c r="S5" i="18"/>
  <c r="R5" i="18"/>
  <c r="Q5" i="18"/>
  <c r="P5" i="18"/>
  <c r="N5" i="18"/>
  <c r="L5" i="18"/>
  <c r="K5" i="18"/>
  <c r="G5" i="18"/>
  <c r="F5" i="18"/>
  <c r="J4" i="18"/>
  <c r="G4" i="18"/>
  <c r="F4" i="18"/>
  <c r="V4" i="18"/>
  <c r="U4" i="18"/>
  <c r="T4" i="18"/>
  <c r="S4" i="18"/>
  <c r="R4" i="18"/>
  <c r="Q4" i="18"/>
  <c r="P4" i="18"/>
  <c r="O4" i="18"/>
  <c r="N4" i="18"/>
  <c r="L4" i="18"/>
  <c r="K4" i="18"/>
  <c r="V21" i="18" l="1"/>
  <c r="M18" i="18"/>
  <c r="M17" i="18"/>
  <c r="M16" i="18"/>
  <c r="M15" i="18"/>
  <c r="M14" i="18"/>
  <c r="M13" i="18"/>
  <c r="M12" i="18"/>
  <c r="M11" i="18"/>
  <c r="M10" i="18"/>
  <c r="M9" i="18"/>
  <c r="H10" i="18"/>
  <c r="H11" i="18"/>
  <c r="H18" i="18"/>
  <c r="H17" i="18"/>
  <c r="H16" i="18"/>
  <c r="H15" i="18"/>
  <c r="H14" i="18"/>
  <c r="H13" i="18"/>
  <c r="H12" i="18"/>
  <c r="H9" i="18"/>
  <c r="O21" i="18"/>
  <c r="I21" i="18" l="1"/>
  <c r="M4" i="18"/>
  <c r="Q21" i="18" l="1"/>
  <c r="M8" i="18"/>
  <c r="U21" i="18"/>
  <c r="H4" i="18"/>
  <c r="M7" i="18"/>
  <c r="M6" i="18"/>
  <c r="M5" i="18"/>
  <c r="K21" i="18"/>
  <c r="L21" i="18"/>
  <c r="S21" i="18"/>
  <c r="J21" i="18"/>
  <c r="R21" i="18"/>
  <c r="N21" i="18"/>
  <c r="P21" i="18"/>
  <c r="T21" i="18"/>
  <c r="G21" i="18"/>
  <c r="H5" i="18"/>
  <c r="H7" i="18"/>
  <c r="H6" i="18"/>
  <c r="H8" i="18"/>
  <c r="F21" i="18"/>
  <c r="H21" i="18" l="1"/>
</calcChain>
</file>

<file path=xl/sharedStrings.xml><?xml version="1.0" encoding="utf-8"?>
<sst xmlns="http://schemas.openxmlformats.org/spreadsheetml/2006/main" count="3639" uniqueCount="1658">
  <si>
    <t>Did not attend</t>
  </si>
  <si>
    <t>Actual Event</t>
  </si>
  <si>
    <t>Post-Event</t>
  </si>
  <si>
    <t>Type</t>
  </si>
  <si>
    <t>Date &amp; Time</t>
  </si>
  <si>
    <t>TA Job Role Incharge</t>
  </si>
  <si>
    <t>Roles</t>
  </si>
  <si>
    <t>Total Registrants/ Projected Participants</t>
  </si>
  <si>
    <t>Total Interviewed</t>
  </si>
  <si>
    <t>Still Interested</t>
  </si>
  <si>
    <t>Withdrawn
(Provided by WSG)</t>
  </si>
  <si>
    <t>Failed Screening Questions</t>
  </si>
  <si>
    <t>Failed TA Interview</t>
  </si>
  <si>
    <t>Total CV sent to Hiring Manager</t>
  </si>
  <si>
    <t>Proceed to Next Stage</t>
  </si>
  <si>
    <t>Consider for other roles</t>
  </si>
  <si>
    <t>KIV 
(to be removed)</t>
  </si>
  <si>
    <t>Shortlisted for Interview (HM)</t>
  </si>
  <si>
    <t>Not Shortlisted for Interview (HM)</t>
  </si>
  <si>
    <t>Interview Fail (HM)</t>
  </si>
  <si>
    <t>Pre-offer</t>
  </si>
  <si>
    <t>Accept Offer</t>
  </si>
  <si>
    <t>Reject Offer</t>
  </si>
  <si>
    <t>BAU</t>
  </si>
  <si>
    <t xml:space="preserve">10 Nov (Tue), 9am – 12pm </t>
  </si>
  <si>
    <t>Yan Yee</t>
  </si>
  <si>
    <t>Data Analytics Consultant (NuCleus)</t>
  </si>
  <si>
    <t>10 Nov (Tue), 2pm – 5pm</t>
  </si>
  <si>
    <t>Java/ .NET Software Engineer (NuCleus)</t>
  </si>
  <si>
    <t xml:space="preserve">11 Nov (Wed), 9am – 12pm </t>
  </si>
  <si>
    <t>Donny</t>
  </si>
  <si>
    <t>System Engineer</t>
  </si>
  <si>
    <t>Ace</t>
  </si>
  <si>
    <t>Helpdesk Engineer</t>
  </si>
  <si>
    <t>Joyce</t>
  </si>
  <si>
    <t>Network Engineer</t>
  </si>
  <si>
    <t xml:space="preserve">11 Nov (Wed), 2pm – 5pm </t>
  </si>
  <si>
    <t>Amanda</t>
  </si>
  <si>
    <t>Data Management Consultant</t>
  </si>
  <si>
    <t>Jaclyn (Java), Charlotte (.NET)</t>
  </si>
  <si>
    <t>Java/ .NET Software Engineer</t>
  </si>
  <si>
    <t>Jiaxin</t>
  </si>
  <si>
    <t>Data Analytics/ Java/ .NET Project Manager</t>
  </si>
  <si>
    <t xml:space="preserve">12 Nov (Thur), 9am – 12pm </t>
  </si>
  <si>
    <t>PKI/ IAM Security Consultant</t>
  </si>
  <si>
    <t>Mandy</t>
  </si>
  <si>
    <t>Systems/ Network IT Security Consultant</t>
  </si>
  <si>
    <t xml:space="preserve">12 Nov (Thur), 2pm – 5pm </t>
  </si>
  <si>
    <t>GRC Security Consultant</t>
  </si>
  <si>
    <t>TESA</t>
  </si>
  <si>
    <t xml:space="preserve">13 Nov (Fri), 9am – 12pm </t>
  </si>
  <si>
    <t>DevOps/ Cloud Ops Engineer</t>
  </si>
  <si>
    <t>Jaclyn</t>
  </si>
  <si>
    <t xml:space="preserve">13 Nov (Fri), 2pm – 5pm </t>
  </si>
  <si>
    <t>Associate Network Consultant</t>
  </si>
  <si>
    <t xml:space="preserve">Associate Business Analyst </t>
  </si>
  <si>
    <t>SGUPT</t>
  </si>
  <si>
    <t xml:space="preserve">12 Nov (Thur), 9am – 12pm
12 Nov (Thur), 2pm – 5pm 
13 Nov (Fri), 9am – 12pm 
13 Nov (Fri), 2pm – 5pm </t>
  </si>
  <si>
    <t>Edward, Keely</t>
  </si>
  <si>
    <t>SGUT_P</t>
  </si>
  <si>
    <t>Grand Total</t>
  </si>
  <si>
    <t>TA Governance</t>
  </si>
  <si>
    <t>TA On Duty</t>
  </si>
  <si>
    <t>Contact Information</t>
  </si>
  <si>
    <t>TA Follow Up Actions</t>
  </si>
  <si>
    <t>Chloe</t>
  </si>
  <si>
    <t>Yan Yee
Edward
Keely</t>
  </si>
  <si>
    <t>[AE] Failed Screening Questions</t>
  </si>
  <si>
    <t>TA</t>
  </si>
  <si>
    <t>Email</t>
  </si>
  <si>
    <t>HP Number</t>
  </si>
  <si>
    <t>[AE] Failed Interview &amp; Provide Reasons</t>
  </si>
  <si>
    <t>Sherlynn</t>
  </si>
  <si>
    <t>yanyee.lau@ncs.com.sg</t>
  </si>
  <si>
    <t>9777 6261</t>
  </si>
  <si>
    <t>[AE] Proceed to Next Stage</t>
  </si>
  <si>
    <t>Keely</t>
  </si>
  <si>
    <t>keely.shen@ncs.com.sg</t>
  </si>
  <si>
    <t>8907 9603</t>
  </si>
  <si>
    <t>[AE] Consider for other roles</t>
  </si>
  <si>
    <t>Edward</t>
  </si>
  <si>
    <t>edward.lim@ncs.com.sg</t>
  </si>
  <si>
    <t>9839 3756</t>
  </si>
  <si>
    <t>[PE] Withdrawn</t>
  </si>
  <si>
    <t>chloe.ong@singtel.com</t>
  </si>
  <si>
    <t>8907 8390</t>
  </si>
  <si>
    <t>[PE] Not Shortlisted for Interview</t>
  </si>
  <si>
    <t>donny.su@ncs.com.sg</t>
  </si>
  <si>
    <t>9731 4723</t>
  </si>
  <si>
    <t>[PE] Shortlisted for Interview</t>
  </si>
  <si>
    <t>ace.cheng@ncs.com.sg</t>
  </si>
  <si>
    <t>8129 8723</t>
  </si>
  <si>
    <t>[PE] Interview Fail</t>
  </si>
  <si>
    <t xml:space="preserve">12 Nov (Thur), 9am – 12pm
12 Nov (Thur), 2pm – 5pm </t>
  </si>
  <si>
    <t>Edward, Keely, Chloe, Sherlynn</t>
  </si>
  <si>
    <t>joyce.lim@ncs.com.sg</t>
  </si>
  <si>
    <t>9777 2463</t>
  </si>
  <si>
    <t>[PE] Pre-offer</t>
  </si>
  <si>
    <t>Jessica (TW)</t>
  </si>
  <si>
    <t>amanda.tan@ncs.com.sg</t>
  </si>
  <si>
    <t>8870 3529</t>
  </si>
  <si>
    <t>[PE] Accept Offer</t>
  </si>
  <si>
    <t>jaclyn.tan@ncs.com.sg</t>
  </si>
  <si>
    <t>9818 5365</t>
  </si>
  <si>
    <t>[PE] Reject Offer</t>
  </si>
  <si>
    <t>Charlotte</t>
  </si>
  <si>
    <t>charlotte.goh@ncs.com.sg</t>
  </si>
  <si>
    <t>8907 0052</t>
  </si>
  <si>
    <t>[PE] KIV</t>
  </si>
  <si>
    <t xml:space="preserve">13 Nov (Fri), 9am – 12pm 
13 Nov (Fri), 2pm – 5pm </t>
  </si>
  <si>
    <t>sherlynn.tan@singtel.com</t>
  </si>
  <si>
    <t>8907 8359</t>
  </si>
  <si>
    <t>jiaxin.chen@ncs.com.sg</t>
  </si>
  <si>
    <t>9839 2365</t>
  </si>
  <si>
    <t>Jaclyn, Ace</t>
  </si>
  <si>
    <t>mandy.lim@ncs.com.sg</t>
  </si>
  <si>
    <t>8129 8731</t>
  </si>
  <si>
    <t>Jaclyn, Mandy</t>
  </si>
  <si>
    <t>Denise</t>
  </si>
  <si>
    <t>denise.koong@ncs.com.sg</t>
  </si>
  <si>
    <t>8608 3220</t>
  </si>
  <si>
    <t>Amanda, Charlotte</t>
  </si>
  <si>
    <t>Jessica Ho</t>
  </si>
  <si>
    <t>jessica.ho@trustwave.com</t>
  </si>
  <si>
    <t>8907 1068</t>
  </si>
  <si>
    <t>Total Applicants</t>
  </si>
  <si>
    <t>Notes</t>
  </si>
  <si>
    <t>- Join Date by 31 Dec 2020
- No shift hours for SGUPT roles (working arrangements as per normal, overtime will have off-in-lieu)
- Uncertain SGUT/SGUP will depend on interview assessment with hiring manager</t>
  </si>
  <si>
    <t>Salary Range</t>
  </si>
  <si>
    <t>Qualification</t>
  </si>
  <si>
    <r>
      <t>SGUT</t>
    </r>
    <r>
      <rPr>
        <sz val="11"/>
        <color theme="1"/>
        <rFont val="Calibri"/>
        <family val="2"/>
        <scheme val="minor"/>
      </rPr>
      <t xml:space="preserve"> (Qualification base)</t>
    </r>
  </si>
  <si>
    <r>
      <t>SGUP</t>
    </r>
    <r>
      <rPr>
        <sz val="11"/>
        <color theme="1"/>
        <rFont val="Calibri"/>
        <family val="2"/>
        <scheme val="minor"/>
      </rPr>
      <t xml:space="preserve"> (Role base)</t>
    </r>
  </si>
  <si>
    <t>Graduate or ORD in 2019 onwards</t>
  </si>
  <si>
    <t>Graduated from 2018 and earlier</t>
  </si>
  <si>
    <t>Degree</t>
  </si>
  <si>
    <t>$2200-$2500</t>
  </si>
  <si>
    <t>$1700 - $3000 (depending on the interview assessment)</t>
  </si>
  <si>
    <t>Diploma</t>
  </si>
  <si>
    <t>$1650-$1800</t>
  </si>
  <si>
    <t>$1700-$2100</t>
  </si>
  <si>
    <t>ITE</t>
  </si>
  <si>
    <t>$1450-$1500</t>
  </si>
  <si>
    <t>$1650-$1700</t>
  </si>
  <si>
    <t>S/N</t>
  </si>
  <si>
    <t>Candidate</t>
  </si>
  <si>
    <t>Nationality 
(Singapore/SPR)</t>
  </si>
  <si>
    <t>Email Address</t>
  </si>
  <si>
    <t>Contact Number</t>
  </si>
  <si>
    <t>TA on Duty</t>
  </si>
  <si>
    <t>Graduation Year</t>
  </si>
  <si>
    <t>Highest Qualification</t>
  </si>
  <si>
    <t>Course of Study</t>
  </si>
  <si>
    <t>LinkedIn Pofile/Resume/Portfolio</t>
  </si>
  <si>
    <t>Role - 1st choice</t>
  </si>
  <si>
    <t>Role - 2nd choice</t>
  </si>
  <si>
    <t>Role - 3rd choice</t>
  </si>
  <si>
    <t>Notice period/ availbility</t>
  </si>
  <si>
    <r>
      <t xml:space="preserve">TA Followup Action
</t>
    </r>
    <r>
      <rPr>
        <sz val="10"/>
        <rFont val="Calibri"/>
        <family val="2"/>
        <scheme val="minor"/>
      </rPr>
      <t>* AE = Actual Event
PE = Post Event</t>
    </r>
  </si>
  <si>
    <t>Remarks 
for Followup Action</t>
  </si>
  <si>
    <t>Interview Date &amp; Time</t>
  </si>
  <si>
    <t>Join Date</t>
  </si>
  <si>
    <t>Job Positions</t>
  </si>
  <si>
    <t>Loh Jun Rong</t>
  </si>
  <si>
    <t>Singaporean</t>
  </si>
  <si>
    <t>seanlohjunrong@gmail.com</t>
  </si>
  <si>
    <t>Degree or equivalent</t>
  </si>
  <si>
    <t>Aeronautical Engineering</t>
  </si>
  <si>
    <t>https://www.linkedin.com/in/sean-loh-jun-rong/</t>
  </si>
  <si>
    <t>1st Level Application/Desktop Remote Support</t>
  </si>
  <si>
    <t>Ong Yong Kiat</t>
  </si>
  <si>
    <t>yongkiat1992@gmail.com</t>
  </si>
  <si>
    <t>Diploma or equivalent</t>
  </si>
  <si>
    <t>Computer Science</t>
  </si>
  <si>
    <t>https://www.linkedin.com/in/yong-kiat-ong-b82a76175/</t>
  </si>
  <si>
    <t>Associate Engineer</t>
  </si>
  <si>
    <t>Cheong Ai Wei</t>
  </si>
  <si>
    <t>janicecheong333@gmail.com</t>
  </si>
  <si>
    <t>Nursing</t>
  </si>
  <si>
    <t>www.linkedin.com/in/ai-wei-cheong94</t>
  </si>
  <si>
    <t>Pending to line</t>
  </si>
  <si>
    <t xml:space="preserve"> </t>
  </si>
  <si>
    <t>Window Administrator</t>
  </si>
  <si>
    <t>Ana Marie Del Rio De Vera</t>
  </si>
  <si>
    <t>SPR</t>
  </si>
  <si>
    <t>a.m101296@hotmail.com</t>
  </si>
  <si>
    <t>Diploma In Infocomm Security Management</t>
  </si>
  <si>
    <t>https://www.linkedin.com/in/ana-marie-de-vera</t>
  </si>
  <si>
    <t>Datacenter Operator</t>
  </si>
  <si>
    <t>Ahmad Iskandar</t>
  </si>
  <si>
    <t>ahmadibr359@gmail.com</t>
  </si>
  <si>
    <t>Computing And Information Systems</t>
  </si>
  <si>
    <t>https://www.dropbox.com/s/f1txus9k5t7o2i9/Resume.pdf?dl=0</t>
  </si>
  <si>
    <t>Desktop Engineer</t>
  </si>
  <si>
    <t>Syed Mohammad Musavvir Muzakkir</t>
  </si>
  <si>
    <t>musavvirmuzakkir@gmail.com</t>
  </si>
  <si>
    <t>https://www.linkedin.com/in/muzakkir-syed-1a81531b8/</t>
  </si>
  <si>
    <t>Desktop Support</t>
  </si>
  <si>
    <t>Shakila Ganesar @ Shakila Do Ganesar</t>
  </si>
  <si>
    <t>shakilaganesar@yahoo.com</t>
  </si>
  <si>
    <t>2019 onwards</t>
  </si>
  <si>
    <t>Biomedical Engineering</t>
  </si>
  <si>
    <t>https://www.linkedin.com/in/shakila-g-318034ba/</t>
  </si>
  <si>
    <t>Candidate studying full time degree, cant commit</t>
  </si>
  <si>
    <t>Service Desk Agent</t>
  </si>
  <si>
    <t>Lee Yan Wei</t>
  </si>
  <si>
    <t>dave.lee@ncs.com.sg</t>
  </si>
  <si>
    <t>Sports Science And Management</t>
  </si>
  <si>
    <t>https://tinyurl.com/y2yuvlkv</t>
  </si>
  <si>
    <t>Service Management</t>
  </si>
  <si>
    <t>Rusdi Budiman</t>
  </si>
  <si>
    <t>rusdi.budiman@iese.net</t>
  </si>
  <si>
    <t>Masters &amp; Above</t>
  </si>
  <si>
    <t>Master Of Business Administration</t>
  </si>
  <si>
    <t>https://www.linkedin.com/in/rusdi-budiman-86639632/</t>
  </si>
  <si>
    <t>Service Support cum Tester</t>
  </si>
  <si>
    <t>Goh Ai Fong</t>
  </si>
  <si>
    <t>gohaifong@yahoo.com</t>
  </si>
  <si>
    <t>Accounting</t>
  </si>
  <si>
    <t>Technical Support Engineer</t>
  </si>
  <si>
    <t>Wan Chin Juan</t>
  </si>
  <si>
    <t>manggo882002@yahoo.com.sg</t>
  </si>
  <si>
    <t>Finance And Accounting</t>
  </si>
  <si>
    <t>http://linkedin.com/in/jessey-wan-a2184285</t>
  </si>
  <si>
    <t>Tester</t>
  </si>
  <si>
    <t>Yang Shao Rong</t>
  </si>
  <si>
    <t>justin.sr@yahoo.com</t>
  </si>
  <si>
    <t>Engineering</t>
  </si>
  <si>
    <t>Na</t>
  </si>
  <si>
    <t>Management Executive, Transformation Office</t>
  </si>
  <si>
    <t>Darshinidevi Gurunathan</t>
  </si>
  <si>
    <t>darshinidevi@hotmail.com</t>
  </si>
  <si>
    <t>2018 and earlier</t>
  </si>
  <si>
    <t>Psychology</t>
  </si>
  <si>
    <t>https://www.linkedin.com/mwlite/in/darshini-g-b99b7833</t>
  </si>
  <si>
    <t>Immediate</t>
  </si>
  <si>
    <t>Pending candidate response</t>
  </si>
  <si>
    <t>DevOps Engineer (Support)</t>
  </si>
  <si>
    <t>Mok Chun Zhen</t>
  </si>
  <si>
    <t>winstonczmok@gmail.com</t>
  </si>
  <si>
    <t>Science (Mathematics)</t>
  </si>
  <si>
    <t>www.linkedin.com/in/winston-mok-b4b3035</t>
  </si>
  <si>
    <t>DevOps Engineer</t>
  </si>
  <si>
    <t>Sebastien Loic Ange Hardy</t>
  </si>
  <si>
    <t>Sebhardy@gmail.com</t>
  </si>
  <si>
    <t>Computer Engineering</t>
  </si>
  <si>
    <t>Linkedin.com/in/sebastienhardy</t>
  </si>
  <si>
    <t>Wasn't able to attend but still keen</t>
  </si>
  <si>
    <t>Systems Engineer (Support)</t>
  </si>
  <si>
    <t>Sadhanandham Jayanthy</t>
  </si>
  <si>
    <t>sjayanthy@gmail.com</t>
  </si>
  <si>
    <t>Information Technology</t>
  </si>
  <si>
    <t>http://linkedin.com/in/sjayanthy</t>
  </si>
  <si>
    <t>Systems Engineer</t>
  </si>
  <si>
    <t>Yazid Bin Isnin</t>
  </si>
  <si>
    <t>yazid2021@yahoo.com.sg</t>
  </si>
  <si>
    <t>Supply Chain Management</t>
  </si>
  <si>
    <t>https://www.linkedin.com/in/yazid-isnin-aa9164a3</t>
  </si>
  <si>
    <t>Phau Yok Eng</t>
  </si>
  <si>
    <t>cpchristina@gmail.com</t>
  </si>
  <si>
    <t>Quantity Surveying/Building Economics</t>
  </si>
  <si>
    <t>https://www.linkedin.com/in/christina-phau-2302a950</t>
  </si>
  <si>
    <t>Chua Shao Heng</t>
  </si>
  <si>
    <t>chuashaoheng@gmail.com</t>
  </si>
  <si>
    <t>Bachelor Of Applied Science (Aviation)</t>
  </si>
  <si>
    <t>https://drive.google.com/file/d/1e68RPJ6L-kxlMSqNbDaFVJuh_QzL3TSt/view?usp=sharing</t>
  </si>
  <si>
    <t>Yeo Tse Wai Shawn</t>
  </si>
  <si>
    <t>shawnyeo0331@gmail.com</t>
  </si>
  <si>
    <t>Industrial Engineering</t>
  </si>
  <si>
    <t>https://www.linkedin.com/in/shawn-yeo-5518971a1</t>
  </si>
  <si>
    <t>Yeo Jia Wen Constance</t>
  </si>
  <si>
    <t>constance.yeo@outlook.com</t>
  </si>
  <si>
    <t>Business Marketing</t>
  </si>
  <si>
    <t>www.linkedin.com/in/constanceyeojw/</t>
  </si>
  <si>
    <t>Pawan Kumar Singh</t>
  </si>
  <si>
    <t>sg.pawansingh@gmail.com</t>
  </si>
  <si>
    <t>Business Management</t>
  </si>
  <si>
    <t>https://www.linkedin.com/in/pawansg/</t>
  </si>
  <si>
    <t>Tan Kok Chiang</t>
  </si>
  <si>
    <t>kokchiangt@gmail.com</t>
  </si>
  <si>
    <t>Biological Sciences</t>
  </si>
  <si>
    <t>https://drive.google.com/file/d/1Z7A-dSTjxeNMzkrQ5E95IdT-fLBm7odC/view?usp=sharing</t>
  </si>
  <si>
    <t>Ng Wan Hwee</t>
  </si>
  <si>
    <t>Kelly.ng.wh@gmail.com</t>
  </si>
  <si>
    <t>Computing &amp; Information System</t>
  </si>
  <si>
    <t>http://bit.ly/KellyNg-CV-31OCT20</t>
  </si>
  <si>
    <t>Jeyaseelan Peter Catherine Ruth</t>
  </si>
  <si>
    <t>jobsforcatherineruth@gmail.com</t>
  </si>
  <si>
    <t>https://drive.google.com/file/d/1nFUVAinEfbLhU_mhbJvWpSHRlrN26IXw/view?usp=sharing</t>
  </si>
  <si>
    <t>Chua Loy Chyn</t>
  </si>
  <si>
    <t>nyhc.lcverene@gmail.com</t>
  </si>
  <si>
    <t>Electronics &amp; Computer Engineering</t>
  </si>
  <si>
    <t>http://linkedin.com/in/verene-chua</t>
  </si>
  <si>
    <t>Interested in digital transformation. Sales experience with relevant educational background. Planning to take up cloud computing and cybersecurity courses under CET in SUSS</t>
  </si>
  <si>
    <t>Wasiyatomo Farid Daruwasisto</t>
  </si>
  <si>
    <t>tomofarid@gmail.com</t>
  </si>
  <si>
    <t>Education And Business</t>
  </si>
  <si>
    <t>http://linkedin.com/in/tomofarid</t>
  </si>
  <si>
    <t>Nadia Binte Mujahidin</t>
  </si>
  <si>
    <t>nadia.mujahidin1@gmail.com</t>
  </si>
  <si>
    <t>Accounting And Finance</t>
  </si>
  <si>
    <t>http://linkedin.com/in/nadia-mujahidin-404019119</t>
  </si>
  <si>
    <t>Yap We Shee</t>
  </si>
  <si>
    <t>weshee@hotmail.com</t>
  </si>
  <si>
    <t>Manufacturing Systems And Engineering</t>
  </si>
  <si>
    <t>https://sg.linkedin.com/in/wesheeyap</t>
  </si>
  <si>
    <t>Chen Mui Lan</t>
  </si>
  <si>
    <t>cmuilan@yahoo.com</t>
  </si>
  <si>
    <t>Bac Of Science (Mathematics)</t>
  </si>
  <si>
    <t>http://linkedin.com/in/angeline-chen-7155086b</t>
  </si>
  <si>
    <t>Keen with remote desktop</t>
  </si>
  <si>
    <t>Lok Pei Yee</t>
  </si>
  <si>
    <t>peiyee90@gmail.com</t>
  </si>
  <si>
    <t>Business</t>
  </si>
  <si>
    <t>https://drive.google.com/file/d/1dwsgKne6vO1qNkjUzCguWhLIPgbpIGLI/view?usp=drivesdk</t>
  </si>
  <si>
    <t>Ong Jian Yuan</t>
  </si>
  <si>
    <t>emperor_qin2003@yahoo.com.sg</t>
  </si>
  <si>
    <t>NITEC / Higher NITEC</t>
  </si>
  <si>
    <t>Mechanical Engineering</t>
  </si>
  <si>
    <t>https://drive.google.com/file/d/1LhIeSvWF7YAm0FbaFuMbTr65RDBw8L-U/view?usp=drivesdk</t>
  </si>
  <si>
    <t>Kavitha D/O Gurunathan</t>
  </si>
  <si>
    <t>kav_777@hotmail.com</t>
  </si>
  <si>
    <t>Business It</t>
  </si>
  <si>
    <t>https://firebasestorage.googleapis.com/v0/b/speed-interview.appspot.com/o/file_1603379804428_Resume.pdf?alt=media&amp;token=32daa611-8795-471a-b00e-eb409157610b</t>
  </si>
  <si>
    <t>George Wong Choong Git</t>
  </si>
  <si>
    <t>george@mywongfamily.com</t>
  </si>
  <si>
    <t>Computer</t>
  </si>
  <si>
    <t>www.linkedin.com/in/georgewong22</t>
  </si>
  <si>
    <t>Tan Zhiyong</t>
  </si>
  <si>
    <t>zytan1985@gmail.com</t>
  </si>
  <si>
    <t>Double Major In Business Information System</t>
  </si>
  <si>
    <t>https://www.linkedin.com/in/zhiyongtan/</t>
  </si>
  <si>
    <t>Lau Swee Kheng</t>
  </si>
  <si>
    <t>sklau79@yahoo.com.sg</t>
  </si>
  <si>
    <t>Accountancy</t>
  </si>
  <si>
    <t>https://www.linkedin.com/in/swee-kheng-lau-701b461a6</t>
  </si>
  <si>
    <t>Ahmad Hassan Bin Hosain</t>
  </si>
  <si>
    <t>hassanhosain@gmail.com</t>
  </si>
  <si>
    <t>Business Computing In It</t>
  </si>
  <si>
    <t>Www.linkedin.com/in/hassanhosain</t>
  </si>
  <si>
    <t>Muhammad Haslan Roslan</t>
  </si>
  <si>
    <t>mdhaslan24@gmail.com</t>
  </si>
  <si>
    <t>Nil</t>
  </si>
  <si>
    <t>Lee Wai Foon</t>
  </si>
  <si>
    <t>waifoon_lee@yahoo.com</t>
  </si>
  <si>
    <t>www.linkedin.com/in/LeeWaiFoon</t>
  </si>
  <si>
    <t>interested in exploring data analytics and AI
previously a systems engineer - shifting ERP to SAP</t>
  </si>
  <si>
    <t>Jeremy Ho Zhen Xiong</t>
  </si>
  <si>
    <t>jeremyho93@hotmail.com</t>
  </si>
  <si>
    <t>Design</t>
  </si>
  <si>
    <t>https://www.linkedin.com/in/jeremy-ho-28a3a7145/</t>
  </si>
  <si>
    <t>Chew Tze Jie</t>
  </si>
  <si>
    <t>tze.jie.chew@gmail.com</t>
  </si>
  <si>
    <t>https://www.linkedin.com/in/tze-jie-chew-0586877a</t>
  </si>
  <si>
    <t>He Jianyuan</t>
  </si>
  <si>
    <t>james.he.jianyuan@gmail.com</t>
  </si>
  <si>
    <t>Bsc Maritime Operations</t>
  </si>
  <si>
    <t>linkedin.com/in/james-he-6232443b/</t>
  </si>
  <si>
    <t>Isaac Sadikin</t>
  </si>
  <si>
    <t>sadikin.isaac@gmail.com</t>
  </si>
  <si>
    <t>Environmental Management</t>
  </si>
  <si>
    <t>https://www.linkedin.com/in/isaac-sadikin-7936b036/</t>
  </si>
  <si>
    <t>Hani Julyani Binte Haizan</t>
  </si>
  <si>
    <t>hanijulyani@gmail.com</t>
  </si>
  <si>
    <t>Real Estate</t>
  </si>
  <si>
    <t>https://www.linkedin.com/in/hani-julyani-haizan-6399629a</t>
  </si>
  <si>
    <t>Chua Lu Yi</t>
  </si>
  <si>
    <t>emilyc_ly@outlook.com</t>
  </si>
  <si>
    <t>Human Are Source Management</t>
  </si>
  <si>
    <t>https://www.LinkedIn.com\in\chuaemily</t>
  </si>
  <si>
    <t>Tan Chook Loon</t>
  </si>
  <si>
    <t>aloysius75@hotmail.com</t>
  </si>
  <si>
    <t>"O" Levels &amp; Below</t>
  </si>
  <si>
    <t>Art Stream</t>
  </si>
  <si>
    <t>www.linkedin.com/in/aloysius-tan-chookloon</t>
  </si>
  <si>
    <t>Raja Hariharan</t>
  </si>
  <si>
    <t>rajahariharanis@gmail.com</t>
  </si>
  <si>
    <t>Economics</t>
  </si>
  <si>
    <t>https://drive.google.com/file/d/1fYNJnww07PtDoH0dVxCnolVNr85zYz7I/view?usp=drivesdk</t>
  </si>
  <si>
    <t>Michael Yip Hon Wai</t>
  </si>
  <si>
    <t>michael.hw.yip@hotmail.com</t>
  </si>
  <si>
    <t>Chemical Process Technology</t>
  </si>
  <si>
    <t>https://www.linkedin.com/in/michael-hw-yip-7b960b24</t>
  </si>
  <si>
    <t>Pok Wensong Jamie</t>
  </si>
  <si>
    <t>jamiepok@gmail.com</t>
  </si>
  <si>
    <t>Data Science</t>
  </si>
  <si>
    <t>https://www.linkedin.com/in/jamiepok/</t>
  </si>
  <si>
    <t>Thor Vei Jye</t>
  </si>
  <si>
    <t>veijye@gmail.com</t>
  </si>
  <si>
    <t>Resume upon request</t>
  </si>
  <si>
    <t>Fah Jia Jun</t>
  </si>
  <si>
    <t>jiajunfah@gmail.com</t>
  </si>
  <si>
    <t>Marketing And Media</t>
  </si>
  <si>
    <t>www.linkedin.com/in/jayfah</t>
  </si>
  <si>
    <t>Foo Chen Wern</t>
  </si>
  <si>
    <t>amyfcw@gmail.com</t>
  </si>
  <si>
    <t>Business Administration</t>
  </si>
  <si>
    <t>www.linkedin.com/in/amyf</t>
  </si>
  <si>
    <t>Benjamin Teo Kim Boon</t>
  </si>
  <si>
    <t>benteokb@yahoo.com</t>
  </si>
  <si>
    <t>BENJAMIN TEO</t>
  </si>
  <si>
    <t>benteokb@yahoo.com. Pending candidate response</t>
  </si>
  <si>
    <t>Suhailahbi Binte Shaik Nizamuddin</t>
  </si>
  <si>
    <t>shaikh.suz@gmail.com</t>
  </si>
  <si>
    <t>Management And International Business</t>
  </si>
  <si>
    <t>https://www.linkedin.com/in/szshkh/</t>
  </si>
  <si>
    <t>Eng Sheng Cheng</t>
  </si>
  <si>
    <t>engshengcheng@gmail.com</t>
  </si>
  <si>
    <t>https://sg.linkedin.com/public-profile/in/sheng-cheng-eng-57a367b6?trk=people-guest_people_search-card&amp;challengeId=AQFkPtor0Gp_dgAAAXQzMbdQSoSghDQdI9y7UAwC0mBlmm76K3ye4U00s0H7CiwEGtciHBDP4BMfZVOKXH7fCzRxnXxEh818fQ&amp;submissionId=f1816d51-2952-2f16-411b-064dd0940a7e</t>
  </si>
  <si>
    <t>Prakash Nadarajan</t>
  </si>
  <si>
    <t>prakash.akltg@gmail.com</t>
  </si>
  <si>
    <t>Materials Engineering</t>
  </si>
  <si>
    <t>prakzter.github.io/Prak_DS_portfolio/</t>
  </si>
  <si>
    <t>Aaron Ong Sheng Wei</t>
  </si>
  <si>
    <t>aaronongsg1@gmail.com</t>
  </si>
  <si>
    <t>Management</t>
  </si>
  <si>
    <t>https://www.linkedin.com/in/aaron-ong-766ab748/</t>
  </si>
  <si>
    <t>Lim Geck Kuan</t>
  </si>
  <si>
    <t>jolinlim28@gmail.com</t>
  </si>
  <si>
    <t>Marketing, Economics</t>
  </si>
  <si>
    <t>https://www.linkedin.com/in/jolin-lim/</t>
  </si>
  <si>
    <t>Su Qingtong</t>
  </si>
  <si>
    <t>mark628su@gmail.com</t>
  </si>
  <si>
    <t>Marine And Offshore</t>
  </si>
  <si>
    <t>https://wetransfer.com/downloads/6b9a73a444e1eea5351639aad4eb7d5520201103042510/9427c2e8695f75abc2034893d99d554720201103042545/4d7c21</t>
  </si>
  <si>
    <t>Chan Kai Mun Desmond</t>
  </si>
  <si>
    <t>desbee_chan@yahoo.com</t>
  </si>
  <si>
    <t>Electronic &amp; Electrical Engineering</t>
  </si>
  <si>
    <t>N/A</t>
  </si>
  <si>
    <t>Follow up email, retrenched from previous role. Pending candidate response.</t>
  </si>
  <si>
    <t>Kwan Hong Min</t>
  </si>
  <si>
    <t>hongminkwan@gmail.com</t>
  </si>
  <si>
    <t>https://www.linkedin.com/in/kwanhm/</t>
  </si>
  <si>
    <t>Lim Liling Pauline</t>
  </si>
  <si>
    <t>pauline.lim@outlook.sg</t>
  </si>
  <si>
    <t>International Relations</t>
  </si>
  <si>
    <t>https://www.linkedin.com/in/pauline-l-6ab37b36/</t>
  </si>
  <si>
    <t>Tan Wei Jie Jerome</t>
  </si>
  <si>
    <t>jerome.tanwj@gmail.com</t>
  </si>
  <si>
    <t>Banking And Finance</t>
  </si>
  <si>
    <t>https://www.linkedin.com/in/jeromewjtan/</t>
  </si>
  <si>
    <t>Wong Foo Keng</t>
  </si>
  <si>
    <t>victor_wong8@hotmail.com</t>
  </si>
  <si>
    <t>Engineering And Business</t>
  </si>
  <si>
    <t>Linkedin account hacked awaiting restoration</t>
  </si>
  <si>
    <t>Lim Yaolong</t>
  </si>
  <si>
    <t>yaolong_lim@hotmail.com</t>
  </si>
  <si>
    <t>Civil Engineer</t>
  </si>
  <si>
    <t>https://www.linkedin.com/in/lim-yaolong-71b17551/</t>
  </si>
  <si>
    <t>Wang Mei Kui</t>
  </si>
  <si>
    <t>elysewang2@gmaol.com</t>
  </si>
  <si>
    <t>Technical</t>
  </si>
  <si>
    <t>Jobstreet</t>
  </si>
  <si>
    <t>Tsen Mee Foung</t>
  </si>
  <si>
    <t>ZEN.SON1A78@GMAIL.COM</t>
  </si>
  <si>
    <t>https://www.linkedin.com/in/sonia-tsen-88b90794/</t>
  </si>
  <si>
    <t>Muhammed Arifin Omar S/O Abbas</t>
  </si>
  <si>
    <t>arifinomar@hotmail.com</t>
  </si>
  <si>
    <t>Economics &amp; Finance</t>
  </si>
  <si>
    <t>https://drive.google.com/file/d/1rOoC6LHCdHv9rFUQuZeuFmhmh-qZLsAr/view?usp=sharing</t>
  </si>
  <si>
    <t>Thong Tse Yin, Dyann</t>
  </si>
  <si>
    <t>thong.dyann@gmail.com</t>
  </si>
  <si>
    <t>https://www.linkedin.com/in/dyann-thong-tse-yin-8b6710144/?originalSubdomain=sg</t>
  </si>
  <si>
    <t>Wu Maolin</t>
  </si>
  <si>
    <t>maolinhb@gmail.com</t>
  </si>
  <si>
    <t>https://www.linkedin.com/in/isabelle-w-595a4b93/</t>
  </si>
  <si>
    <t>Zheng Xiaowen</t>
  </si>
  <si>
    <t>XIAONINGFLY@GMAIL.COM</t>
  </si>
  <si>
    <t>Maritime</t>
  </si>
  <si>
    <t>https://drive.google.com/file/d/10MYUSSdczizZSZJVXFAFeIoRfdOBoXdo/view?usp=sharing</t>
  </si>
  <si>
    <t>Chen Ming Xuan</t>
  </si>
  <si>
    <t>owenchen.mx@gmail.com</t>
  </si>
  <si>
    <t>Economics And Finance</t>
  </si>
  <si>
    <t>https://www.linkedin.com/mwlite/in/ming-xuan-chen-201766126</t>
  </si>
  <si>
    <t>Contract role with MCCY ended 2019. Took up courses for Python and Power BI</t>
  </si>
  <si>
    <t>Wong Yu Ying</t>
  </si>
  <si>
    <t>leannewongyy@gmail.com</t>
  </si>
  <si>
    <t>Medical Radiation Science And Management</t>
  </si>
  <si>
    <t>https://drive.google.com/file/d/13TbK_v1po8amjNvzWsxYEE0kKiftfDXK/view?usp=sharing</t>
  </si>
  <si>
    <t>Cabrera Mary Jade Tadeo</t>
  </si>
  <si>
    <t>maryjadec@gmail.com</t>
  </si>
  <si>
    <t>Financial Informatics (Hybrid Finance And Info-Tech)</t>
  </si>
  <si>
    <t>Hostess-Waitress</t>
  </si>
  <si>
    <t>Mohamed Abubaker Ali Suleka Rani</t>
  </si>
  <si>
    <t>sulekaabubaker@gmail.com</t>
  </si>
  <si>
    <t>Computer Application</t>
  </si>
  <si>
    <t>Jr Programmer</t>
  </si>
  <si>
    <t>Chang Jing Wen</t>
  </si>
  <si>
    <t>joyce_cty@yahoo.com</t>
  </si>
  <si>
    <t>Admin assistant</t>
  </si>
  <si>
    <t>unable to converse fluently</t>
  </si>
  <si>
    <t>Zi Ying</t>
  </si>
  <si>
    <t>ziyingkoh19@hotmail.com</t>
  </si>
  <si>
    <t>Information Communication And Technology</t>
  </si>
  <si>
    <t>Senior Administrator</t>
  </si>
  <si>
    <t>Samuel Lim Jun Hao</t>
  </si>
  <si>
    <t>SLIM100@e.ntu.edu.sg</t>
  </si>
  <si>
    <t>Electrical And Electronic Engineering</t>
  </si>
  <si>
    <t>Operation Engineer</t>
  </si>
  <si>
    <t>Muhammad Ammar Sadon</t>
  </si>
  <si>
    <t>arabulquds@live.com</t>
  </si>
  <si>
    <t>www.linkedin.com/ammar~sadon</t>
  </si>
  <si>
    <t>Technical IT &amp; programming background
Currently doing freelancing work</t>
  </si>
  <si>
    <t>Yeo Soo Gek</t>
  </si>
  <si>
    <t>zyangvho@gmail.com</t>
  </si>
  <si>
    <t>Deng Zeqi</t>
  </si>
  <si>
    <t>dengzeqi1989@hotmail.com</t>
  </si>
  <si>
    <t>http://linkedin.com/in/ze-qi-deng-4a25ba184</t>
  </si>
  <si>
    <t>Rosemary Lau Ca Cheng</t>
  </si>
  <si>
    <t>rosemary.lau@gmail.com</t>
  </si>
  <si>
    <t>Biochemistry</t>
  </si>
  <si>
    <t>http://linkedin.com/in/rosemary-lau-7902773a</t>
  </si>
  <si>
    <t>No relevant experience or educational background. Interested in data analytics. May consider for TeSA.</t>
  </si>
  <si>
    <t>Muhammad Nasri Bin Senin</t>
  </si>
  <si>
    <t>nasrisenin@gmail.com</t>
  </si>
  <si>
    <t>https://drive.google.com/file/d/1s8FwrKimP2K1j_ALG6XHECH_UFaR6JRE/view</t>
  </si>
  <si>
    <t>Goh Rui Kun</t>
  </si>
  <si>
    <t>rkapril@me.com</t>
  </si>
  <si>
    <t>https://www.linkedin.com/in/goh-rui-kun-a3b37127/</t>
  </si>
  <si>
    <t>Ng Yon Xiang</t>
  </si>
  <si>
    <t>nicholasnyx90@hotmail.com</t>
  </si>
  <si>
    <t>Chemical Engineering</t>
  </si>
  <si>
    <t>Lim Tze Wei</t>
  </si>
  <si>
    <t>limtzewei333@gmail.com</t>
  </si>
  <si>
    <t>https://www.linkedin.com/in/lim-t-34ab44104?lipi=urn%3Ali%3Apage%3Ad_flagship3_profile_view_base_contact_details%3Bbyg5Sc6bTbqj5L1mKGTW3w%3D%3D</t>
  </si>
  <si>
    <t>Leong Wai Loon</t>
  </si>
  <si>
    <t>msynzl97@gmail.com</t>
  </si>
  <si>
    <t>Business Studies</t>
  </si>
  <si>
    <t>https://sg.linkedin.com/in/wilson-leong-34b364b7</t>
  </si>
  <si>
    <t>Eu Soon Wah Olivia</t>
  </si>
  <si>
    <t>Olivia.visual@gmail.com</t>
  </si>
  <si>
    <t>https://www.linkedin.com/mwlite/in/eu-soon-wah-olivia-37449064</t>
  </si>
  <si>
    <t>Suah Yee Jen</t>
  </si>
  <si>
    <t>suahyeejen@gmail.com</t>
  </si>
  <si>
    <t>Bachelor Of Business (Finance/Information Systems)</t>
  </si>
  <si>
    <t>https://www.mycareersfuture.gov.sg/profile</t>
  </si>
  <si>
    <t>IT project management/coordinator in finance industry. Fintech. No technical hands-on experience in coding etc. but relevant educational background</t>
  </si>
  <si>
    <t>Lee Suet Won</t>
  </si>
  <si>
    <t>sw.lee.sharon@gmail.com</t>
  </si>
  <si>
    <t>Engineering And Big Data Business Analysis</t>
  </si>
  <si>
    <t>linkedin.com/in/sw-lee-sharon-390302</t>
  </si>
  <si>
    <t>Anthony Goh Yao Jie</t>
  </si>
  <si>
    <t>anthony.goh@live.com</t>
  </si>
  <si>
    <t>Business Administration &amp; Finance</t>
  </si>
  <si>
    <t>https://www.linkedin.com/in/anthony-goh-a745383b/</t>
  </si>
  <si>
    <t>Nair Indu Vinod</t>
  </si>
  <si>
    <t>indubnair@hotmail.com</t>
  </si>
  <si>
    <t>Commerce</t>
  </si>
  <si>
    <t>www.linkedin.com/in/indu-n-45633522</t>
  </si>
  <si>
    <t>1 month</t>
  </si>
  <si>
    <t>no cv, email for cv. Pending candidate response</t>
  </si>
  <si>
    <t>Itchapurapu Madhavi</t>
  </si>
  <si>
    <t>umadhavi@gmail.com</t>
  </si>
  <si>
    <t>www.linkedin.com/in/madhavi-uma-25781b107</t>
  </si>
  <si>
    <t xml:space="preserve">Email to get CV
Started her career as application analyst
4 years programming experience - currently learning python courses
1 year experience as a Tester
Last work experience was 2019
</t>
  </si>
  <si>
    <t>Ho Boon Hock</t>
  </si>
  <si>
    <t>rayho417@gmail.com</t>
  </si>
  <si>
    <t>N.A.</t>
  </si>
  <si>
    <t>Tan Wee Leong</t>
  </si>
  <si>
    <t>IT</t>
  </si>
  <si>
    <t>https://apply-sg.jobsdb.com/resume/edit?color=blue</t>
  </si>
  <si>
    <t>Thng Zhe En Daniel</t>
  </si>
  <si>
    <t>Product design and innovation</t>
  </si>
  <si>
    <t>http://linkedin.com/in/daniel-thng-25695ab7</t>
  </si>
  <si>
    <t>Jahan Nargis</t>
  </si>
  <si>
    <t>Shah Deval</t>
  </si>
  <si>
    <t>Accountancy, Information Technology</t>
  </si>
  <si>
    <t>https://www.linkedin.com/in/deval-shah-itmgmt-erp</t>
  </si>
  <si>
    <t>Ong Tian Wah</t>
  </si>
  <si>
    <t>Electronic and Communication Engineering</t>
  </si>
  <si>
    <t>10 years Experience in network infrastructure and repairing computers
currently 67 years old</t>
  </si>
  <si>
    <t>Dmello Carol Minin</t>
  </si>
  <si>
    <t/>
  </si>
  <si>
    <t>service support n tester - 4th choice. Resigned in Jan 2020 as it was a night shift. Travel to cargo centre, changi etc. Interest in admin and IT.</t>
  </si>
  <si>
    <t>Phang Min Li Carol</t>
  </si>
  <si>
    <t>Finance</t>
  </si>
  <si>
    <t>linkedin.com/in/fpafinanceaccounting</t>
  </si>
  <si>
    <t>Keely comments: looking for associate business anlayst tesa mid career and tesa se engineer role. Currently attending couses with SMU - data analystics, predictive analytsics and power BI. Claiming from skills future credit
Sherlynn comments: Finance Domain since 2007. Left contract job in Sept 2020. Do not have any IT background, but worked on business applications systems implementations</t>
  </si>
  <si>
    <t>Susan Phillip @ Justin Angang</t>
  </si>
  <si>
    <t>Diploma in Management</t>
  </si>
  <si>
    <t>Koh Bee Suan</t>
  </si>
  <si>
    <t>Bachelor of Science - Computer Science with Management (SIM University)</t>
  </si>
  <si>
    <t>https://www.pdfescape.com/open/?27F6A80DA00422CE952B9407BDCD2157B33C4D38D18CFA2D</t>
  </si>
  <si>
    <t>Lionel Ong Tze Min</t>
  </si>
  <si>
    <t>http://linkedin.com/in/lionelotm</t>
  </si>
  <si>
    <t xml:space="preserve">Nucleus data anlaytics consultant. </t>
  </si>
  <si>
    <t>Mohammad Ade Putra Bin Saffie</t>
  </si>
  <si>
    <t>Communications</t>
  </si>
  <si>
    <t>https://www.linkedin.com/in/mohammad-ade-putra-saffie-5a420560/</t>
  </si>
  <si>
    <t>End Nov</t>
  </si>
  <si>
    <t>Currently taking a private diploma, expected grad early 2021
Intending to take a part time degree after
Has experience in network/security for b2b and b2c</t>
  </si>
  <si>
    <t>Zakee Mohamed Noor</t>
  </si>
  <si>
    <t>zacagiva@gmail.com</t>
  </si>
  <si>
    <t>Academic</t>
  </si>
  <si>
    <t>1 week</t>
  </si>
  <si>
    <t>Viswalingam Ramanathan</t>
  </si>
  <si>
    <t>vjrmukun@gmail.com</t>
  </si>
  <si>
    <t>Chemical Engineering, Project Management, Business Administration</t>
  </si>
  <si>
    <t>http://linkedin.com/in/ramanathan-v</t>
  </si>
  <si>
    <t>Attended but wasn't interviewed (skipped), but status update was to proceed to next stage. Pending candidate response</t>
  </si>
  <si>
    <t>Ng Chek Wee</t>
  </si>
  <si>
    <t>yixi1008@gmail.com</t>
  </si>
  <si>
    <t>Akhbar Ali S/O Hajah Maidin</t>
  </si>
  <si>
    <t>Akhbar76@gmail.com</t>
  </si>
  <si>
    <t>https://www.linkedin.com/in/ali-37147</t>
  </si>
  <si>
    <t>Shahidil Habil Bin Sahat</t>
  </si>
  <si>
    <t>shahidilhabil@gmail.com</t>
  </si>
  <si>
    <t>Diploma In Mechatronics Engineering</t>
  </si>
  <si>
    <t>https://www.linkedin.com/in/shahidilhabil</t>
  </si>
  <si>
    <t>Foo Teck Loong</t>
  </si>
  <si>
    <t>paxton8sg@yahoo.com</t>
  </si>
  <si>
    <t>Precision Machining</t>
  </si>
  <si>
    <t>https://www.linkedin.com/in/paxton-foo-b439749a</t>
  </si>
  <si>
    <t>Tan Jun Jie</t>
  </si>
  <si>
    <t>junjie@keijet.com</t>
  </si>
  <si>
    <t>Engineering Product Development (Computer Engineering Track)</t>
  </si>
  <si>
    <t>https://www.linkedin.com/mwlite/in/junjiet</t>
  </si>
  <si>
    <t>Nur Muhammad Bin Harron</t>
  </si>
  <si>
    <t>mamatjk@hotmail.com</t>
  </si>
  <si>
    <t>https://www.linkedin.com/mwlite/in/nur-muhammad-acap-234b4a98</t>
  </si>
  <si>
    <t xml:space="preserve">3rd choice - Systems/automation engineer. Have studied C++ programming. </t>
  </si>
  <si>
    <t>Muhammad Shafiq Bin Syed Mohamed</t>
  </si>
  <si>
    <t>shafiq_31@hotmail.com</t>
  </si>
  <si>
    <t>https://www.linkedin.com/in/muhammad-shafiq-b76a0916b/</t>
  </si>
  <si>
    <t>Selvam S/O P Mohan</t>
  </si>
  <si>
    <t>selvam.mohan14@gmail.com</t>
  </si>
  <si>
    <t>Electrical And Electronics Engineering</t>
  </si>
  <si>
    <t>https://www.linkedin.com/in/selvam-mohan-133475156/</t>
  </si>
  <si>
    <t>Chan Shang Ce</t>
  </si>
  <si>
    <t>chanshangce@u.nus.edu</t>
  </si>
  <si>
    <t>Science/Chemistry</t>
  </si>
  <si>
    <t>https://www.linkedin.com/in/shangce/</t>
  </si>
  <si>
    <t>Chua Joo Leong (Cai Yulong)</t>
  </si>
  <si>
    <t>moriya_cjl@hotmail.com</t>
  </si>
  <si>
    <t>Diploma In Multimedia Software Engineering</t>
  </si>
  <si>
    <t>www.linkedin.com/in/ChuaJooLeong</t>
  </si>
  <si>
    <t>Omprakash Padmanaban</t>
  </si>
  <si>
    <t>joes_omprakash@yahoo.co.in</t>
  </si>
  <si>
    <t>Computer Technology, Networking And Applications</t>
  </si>
  <si>
    <t>https://www.linkedin.com/in/omprakash-p-1989b81a2/</t>
  </si>
  <si>
    <t>2 months</t>
  </si>
  <si>
    <t>Muhammad Syahir Bin Mohd Suhairi</t>
  </si>
  <si>
    <t>syahirsuhairi@gmail.com</t>
  </si>
  <si>
    <t>http://linkedin.com/in/syahir-suhairi-1741a6182</t>
  </si>
  <si>
    <t>Chow Ee Jiing</t>
  </si>
  <si>
    <t>yiyu-1981@hotmail.com</t>
  </si>
  <si>
    <t>Industrial And System Engineering</t>
  </si>
  <si>
    <t>https://1drv.ms/b/s!AvEAhKnSAkxcj3XTqLcXI04InNfi</t>
  </si>
  <si>
    <t>Mohd Zulkifflee Bin Awi</t>
  </si>
  <si>
    <t>mozawzul@gmail.com</t>
  </si>
  <si>
    <t>Chemical Process Engineering</t>
  </si>
  <si>
    <t>Rachael Wee Siu Ying</t>
  </si>
  <si>
    <t>rachael.alexandria.wee@gmail.com</t>
  </si>
  <si>
    <t>Arts</t>
  </si>
  <si>
    <t>https://www.linkedin.com/in/rachaelwee/</t>
  </si>
  <si>
    <t>Habib Muhammed</t>
  </si>
  <si>
    <t>habibmuhd@gmail.com</t>
  </si>
  <si>
    <t>Bioengineering</t>
  </si>
  <si>
    <t>https://github.com/Habibmuhd</t>
  </si>
  <si>
    <t>Shahul Hameed Mohamed Abdul Kadir</t>
  </si>
  <si>
    <t>kadirmak@gmail.com</t>
  </si>
  <si>
    <t>https://www.linkedin.com/in/mohamed-abdulkadir-940bb165</t>
  </si>
  <si>
    <t>Tan Yi Lin</t>
  </si>
  <si>
    <t>elyn_tan07@hotmail.com</t>
  </si>
  <si>
    <t>Information Systems Management</t>
  </si>
  <si>
    <t>https://drive.google.com/file/d/1tB6T_BMQ3Heuc2ER360LkTlGYfKdOKWz/view?usp=sharing</t>
  </si>
  <si>
    <t>Noor Farhan Bin Ismail</t>
  </si>
  <si>
    <t>noorfarhanismail@gmail.com</t>
  </si>
  <si>
    <t>http://linkedin.com/in/farhan-ismail-6a3179123</t>
  </si>
  <si>
    <t>Ang Zhi Ting</t>
  </si>
  <si>
    <t>zhiting8405@hotmail.com</t>
  </si>
  <si>
    <t>I don't have a linkdin acc. Will send upon request</t>
  </si>
  <si>
    <t>Nicholas Lim Yu Suen</t>
  </si>
  <si>
    <t>nicholaslim93@hotmail.com</t>
  </si>
  <si>
    <t>Aviation Management &amp; Services</t>
  </si>
  <si>
    <t>https://docs.google.com/document/d/1cfOtElqDi4gT0-pJexRACmtL7YEgFeZaZMcBHRFFGXo/edit?usp=sharing</t>
  </si>
  <si>
    <t>S8922123D (fabizic18@gmail.com)</t>
  </si>
  <si>
    <t>fabizic18@gmail.com</t>
  </si>
  <si>
    <t>Diploma In Network Defence And Forensic Countermeasures</t>
  </si>
  <si>
    <t>https://drive.google.com/file/d/1Ze4coBUjpT5Sxt3AMFPn4CwbuBBMQkJt/view?usp=drivesdk</t>
  </si>
  <si>
    <t>Dzulfadhly Suhod</t>
  </si>
  <si>
    <t>afadmonstar@hotmail.com</t>
  </si>
  <si>
    <t>Electronic Engineering</t>
  </si>
  <si>
    <t>https://www.linkedin.com/in/dzulfadhly-suhod-b95b731b8</t>
  </si>
  <si>
    <t>Yong Yao Yuan</t>
  </si>
  <si>
    <t>yaoyuanyong17@gmail.com</t>
  </si>
  <si>
    <t>Engineering (Electronic/Mechanical)</t>
  </si>
  <si>
    <t>https://api.mycareersfuture.gov.sg/profile/documents/1f441e9069e5a9c4b47741336f8aa0c221177719ec7485e8065e0cade321ee2d103e414fc6811b7c25a4ef82debb91efdfb4960c4c54425e7be5ea79f6b9d34585e0924ce5f0483f48f82b92d1f3beb1</t>
  </si>
  <si>
    <t>Manoj Kumar Sudhir</t>
  </si>
  <si>
    <t>s.manojk@outlook.com</t>
  </si>
  <si>
    <t>Electronics, Computers &amp; Communications</t>
  </si>
  <si>
    <t>https://www.linkedin.com/in/manoj-kumar-sudhir/</t>
  </si>
  <si>
    <t>Wen Ming Enkizen</t>
  </si>
  <si>
    <t>enkizen.computing@u.nus.edu</t>
  </si>
  <si>
    <t>Physics</t>
  </si>
  <si>
    <t>https://www.linkedin.com/in/enkizen/</t>
  </si>
  <si>
    <t>Did not attend but shortlisted for interview before this VCF</t>
  </si>
  <si>
    <t>Ahmad Habiibul Matien Bin Abdullah</t>
  </si>
  <si>
    <t>ahmatien27@gmail.com</t>
  </si>
  <si>
    <t>Aerospace Electronics</t>
  </si>
  <si>
    <t>www.linkedin.com/in/ahmad-matien</t>
  </si>
  <si>
    <t>Muhammad Aliff Bin Norshah</t>
  </si>
  <si>
    <t>muhd.aliffnorshah@gmail.com</t>
  </si>
  <si>
    <t>Renewable Energy Engineering</t>
  </si>
  <si>
    <t>https://www.linkedin.com/in/aliff-norshah-3193ba1ba</t>
  </si>
  <si>
    <t>Chan Kang Jun</t>
  </si>
  <si>
    <t>ckjun0404@hotmail.com</t>
  </si>
  <si>
    <t>Hospitality Management</t>
  </si>
  <si>
    <t>https://www.linkedin.com/in/john-chan-kang-jun-陈康骏-821672142</t>
  </si>
  <si>
    <t>no exp in IT. Have taken courses related to IT from Lithan academy. IT infra and cyber security courses (very keen). Part-time courses.</t>
  </si>
  <si>
    <t>Muhammad Taufiq Bin Mohamed Nasir</t>
  </si>
  <si>
    <t>taufiqnasir@gmail.com</t>
  </si>
  <si>
    <t>Electronics Engineering (Networking)</t>
  </si>
  <si>
    <t>http://linkedin.com/in/muhammad-taufiq-bin-mohamed-nasir-66545b163</t>
  </si>
  <si>
    <t>Lau Kim Lee</t>
  </si>
  <si>
    <t>LAUKIMLEE@YAHOO.COM.SG</t>
  </si>
  <si>
    <t>Diploma In Building Management</t>
  </si>
  <si>
    <t>email cdd for cvz. Pending candidate response</t>
  </si>
  <si>
    <t>Guo Ying Ying</t>
  </si>
  <si>
    <t>guo.yingying@outlook.com</t>
  </si>
  <si>
    <t>Manufacturing Engineering</t>
  </si>
  <si>
    <t>looking for a different career path in Engineering. 3rd choice - system automation engineer</t>
  </si>
  <si>
    <t>Lim Wensheng</t>
  </si>
  <si>
    <t>wilsonlim777@icloud.com</t>
  </si>
  <si>
    <t>Events, Sales And Marketing</t>
  </si>
  <si>
    <t>https://www.linkedin.com/feed/?trk=guest_homepage-basic_nav-header-signin</t>
  </si>
  <si>
    <t>Mohamed Akhtar Yusoff Marican</t>
  </si>
  <si>
    <t>xkhtxr@aol.com</t>
  </si>
  <si>
    <t>Nautical Studies</t>
  </si>
  <si>
    <t>https://www.linkedin.com/in/xkhtxr/</t>
  </si>
  <si>
    <t>Netala Aruna</t>
  </si>
  <si>
    <t>info_aruna@yahoo.com</t>
  </si>
  <si>
    <t>Master Of Computer Applications</t>
  </si>
  <si>
    <t>Dont have linked in account, can send resume later.</t>
  </si>
  <si>
    <t>candidate has just had intv with hiring mgr for desktop remote suppt role, pending cddt decision to accept</t>
  </si>
  <si>
    <t>Hiew Hock Wui</t>
  </si>
  <si>
    <t>bernardhiew@yahoo.com</t>
  </si>
  <si>
    <t>http://linkedin.com/in/bernard-hiew-65660314</t>
  </si>
  <si>
    <t>Tan Hiao Han</t>
  </si>
  <si>
    <t>tan.x.h.24@gmail.com</t>
  </si>
  <si>
    <t>Chemistry</t>
  </si>
  <si>
    <t>https://docs.google.com/document/d/1zHq1YG9IUa-TVw2YahZn8L50DUHJRLETQE4yZUhXKh8/edit?usp=drivesdk</t>
  </si>
  <si>
    <t>Record shows candidate attended but wasn't interviewed (skipped)</t>
  </si>
  <si>
    <t>Chung Wing Wai</t>
  </si>
  <si>
    <t>wingwaichung@gmail.com</t>
  </si>
  <si>
    <t>Electrical Engineering</t>
  </si>
  <si>
    <t>Muhammad Sufyan Bin Roslan</t>
  </si>
  <si>
    <t>sufyan.alkhalifah@gmail.com</t>
  </si>
  <si>
    <t>https://www.linkedin.com/in/muhammad-sufyan-roslan-7533b81b6/</t>
  </si>
  <si>
    <t>Seng Fang Peng</t>
  </si>
  <si>
    <t>Seng700@gmail.com</t>
  </si>
  <si>
    <t>linkedin.com/in/fpseng-a8875</t>
  </si>
  <si>
    <t>Low Zhan Yuan</t>
  </si>
  <si>
    <t>liu_zhanyuan@live.com</t>
  </si>
  <si>
    <t>linkedin.com/in/zhan-yuan-low-43544b188</t>
  </si>
  <si>
    <t>Herpacio Gerry Abad</t>
  </si>
  <si>
    <t>herpacio69@singnet.com.sg</t>
  </si>
  <si>
    <t>Architecture</t>
  </si>
  <si>
    <t>https://drive.google.com/drive/folders/1_pN-gZ1N1h3rwjHiNOJVlov714hMKYTP?usp=sharing</t>
  </si>
  <si>
    <t>Siti Hajar Khamim</t>
  </si>
  <si>
    <t>sitihajark2014@gmail.com</t>
  </si>
  <si>
    <t>Logistics</t>
  </si>
  <si>
    <t>www.linkedin.com/in/sitikhamim</t>
  </si>
  <si>
    <t>Chin Chai Chee</t>
  </si>
  <si>
    <t>brennanchin2@gmail.com</t>
  </si>
  <si>
    <t>Computer Forensics</t>
  </si>
  <si>
    <t>www.linkedin.com/in/brennan-chin</t>
  </si>
  <si>
    <t>Fong Wai Leng</t>
  </si>
  <si>
    <t>desiree.fongwl@gmail.com</t>
  </si>
  <si>
    <t>Auditing, Sales, Business, Education</t>
  </si>
  <si>
    <t>https://drive.google.com/file/d/1q2lmlob16ep_lAul20dEBmi2PQk8w6f4/view?usp=sharing</t>
  </si>
  <si>
    <t>does not come with tech background. Would like to have an entry role in this industry. Interested in sales role. 1st choice - Can try for inside roles. 2nd choice - systems engineer. 3rd choice - devops engineer. Currently serving notice period till 1 Dec.</t>
  </si>
  <si>
    <t>Tan Zhi Hao</t>
  </si>
  <si>
    <t>Tripleoone@hotmail.com</t>
  </si>
  <si>
    <t>Telecommunications</t>
  </si>
  <si>
    <t>https://www.linkedin.com/in/tan-zhi-hao-5b322826</t>
  </si>
  <si>
    <t>Yee Ngun Fah</t>
  </si>
  <si>
    <t>cutebit99@hotmail.com</t>
  </si>
  <si>
    <t>Business &amp; Information Management</t>
  </si>
  <si>
    <t>https://www.linkedin.com/in/rachel-yee-040021196/</t>
  </si>
  <si>
    <t>Neo Kian Heng</t>
  </si>
  <si>
    <t>neo_kianheng@hotmail.com</t>
  </si>
  <si>
    <t>Diploma In Management Studies</t>
  </si>
  <si>
    <t>Candidate no IT/Eng background</t>
  </si>
  <si>
    <t>Sim Wei Zhou</t>
  </si>
  <si>
    <t>sim.weizhou@gmail.com</t>
  </si>
  <si>
    <t>https://www.linkedin.com/in/wei-zhou-sim-99a640136</t>
  </si>
  <si>
    <t>Chua En Sheng David</t>
  </si>
  <si>
    <t>david_chua85@hotmail.com</t>
  </si>
  <si>
    <t>https://www.linkedin.com/in/en-sheng-david-chua-168b472b/</t>
  </si>
  <si>
    <t>Jensen Chan Yuen Sheng</t>
  </si>
  <si>
    <t>jensenchanys@gmail.com</t>
  </si>
  <si>
    <t>https://www.linkedin.com/mwlite/in/jensen-chan-38b722128</t>
  </si>
  <si>
    <t>Jibin George Augustine</t>
  </si>
  <si>
    <t>jibingeorge004@gmail.com</t>
  </si>
  <si>
    <t>http://linkedin.com/in/jibin-augustine</t>
  </si>
  <si>
    <t>Loh Zhi Qing</t>
  </si>
  <si>
    <t>zhiqingloh@icloud.com</t>
  </si>
  <si>
    <t>Sociology And Communications</t>
  </si>
  <si>
    <t>https://www.linkedin.com/in/zhiqingloh</t>
  </si>
  <si>
    <t>Guo Kaikai</t>
  </si>
  <si>
    <t>guokaikai1988@gmail.com</t>
  </si>
  <si>
    <t>Materials Science Engineering</t>
  </si>
  <si>
    <t>https://www.linkedin.com/in/kai-kai-guo/</t>
  </si>
  <si>
    <t>Sharon Hu Yu Zhen</t>
  </si>
  <si>
    <t>J.SHINYU@LIVE.COM</t>
  </si>
  <si>
    <t>Business Informatics</t>
  </si>
  <si>
    <t>Salmanfaruqi</t>
  </si>
  <si>
    <t>faruqi.mk@gmail.com</t>
  </si>
  <si>
    <t>https://www.linkedin.com/in/salmanfaruqi</t>
  </si>
  <si>
    <t>email cdd to follow up. Pending candidate response</t>
  </si>
  <si>
    <t>Mohammad Irfan Bin Zaini</t>
  </si>
  <si>
    <t>irfan.zaini@gmail.com</t>
  </si>
  <si>
    <t>https://www.linkedin.com/in/irfan-zaini-51b06249/</t>
  </si>
  <si>
    <t>Pang Kai Qi</t>
  </si>
  <si>
    <t>pangkaiqi@gmail.com</t>
  </si>
  <si>
    <t>Food Science</t>
  </si>
  <si>
    <t>https://www.linkedin.com/in/pang-kai-qi-456457aa/</t>
  </si>
  <si>
    <t>Mohammad Taufiq Bin Mohd Safari</t>
  </si>
  <si>
    <t>taufiqsafari@outlook.sg</t>
  </si>
  <si>
    <t>Office</t>
  </si>
  <si>
    <t>https://drive.google.com/file/d/1d4t-3lSPKatTIQum-0tnj9DDbxedt9bh/view?usp=drivesdk</t>
  </si>
  <si>
    <t>Quek Cheng Kwee, Elvin</t>
  </si>
  <si>
    <t>quek_8411@hotmail.com</t>
  </si>
  <si>
    <t>https://www.linkedin.com/in/elvin-quek-998a9bb1</t>
  </si>
  <si>
    <t>7 days</t>
  </si>
  <si>
    <t>Syed Mohamad Farhan Bin Syed Othman</t>
  </si>
  <si>
    <t>tresejuk@gmail.com</t>
  </si>
  <si>
    <t>https://drive.google.com/file/d/1h_RwFaTOhpcUJH-z-BH0zhgMM8dUktcZ/view?usp=drivesdk</t>
  </si>
  <si>
    <t>Aqmar Bin Bahril Azkia</t>
  </si>
  <si>
    <t>aqmar.azkia@gmail.com</t>
  </si>
  <si>
    <t>Communication And Media Studies And Public Relations</t>
  </si>
  <si>
    <t>https://www.linkedin.com/in/aqmar-azkia-6ab2bb185</t>
  </si>
  <si>
    <t>Yeap Kian Yong</t>
  </si>
  <si>
    <t>kyeap2@gmail.com</t>
  </si>
  <si>
    <t>Social Science</t>
  </si>
  <si>
    <t>https://www.linkedin.com/in/ken-yeap-5449743</t>
  </si>
  <si>
    <t>Lim Kai Sern</t>
  </si>
  <si>
    <t>limkaisern1995@gmail.com</t>
  </si>
  <si>
    <t>tester, service support tester, service management, desktop remote support, 1st application desktop remote support</t>
  </si>
  <si>
    <t>Muhammad Fazli Bin Musa</t>
  </si>
  <si>
    <t>fazlimusa1981@yahoo.com.sg</t>
  </si>
  <si>
    <t>https://www.linkedin.com/in/fazli-musa-5773961bb/</t>
  </si>
  <si>
    <t>Fung Ming Ching Simon</t>
  </si>
  <si>
    <t>Screening Questions</t>
  </si>
  <si>
    <r>
      <rPr>
        <b/>
        <sz val="11"/>
        <color theme="1"/>
        <rFont val="Calibri"/>
        <family val="2"/>
        <scheme val="minor"/>
      </rPr>
      <t>1) Do you possess a degree in Computer Science/ Computer Engineering/ Engineering/ Information Systems/ Business Analytics/ Mathematics/ Statistics/ Economics/ Physic/ or other related disciplines that possesses analytical and quantitative components from a reputable institution?</t>
    </r>
    <r>
      <rPr>
        <sz val="11"/>
        <color theme="1"/>
        <rFont val="Calibri"/>
        <family val="2"/>
        <scheme val="minor"/>
      </rPr>
      <t xml:space="preserve"> Answer: Yes
</t>
    </r>
    <r>
      <rPr>
        <b/>
        <sz val="11"/>
        <color theme="1"/>
        <rFont val="Calibri"/>
        <family val="2"/>
        <scheme val="minor"/>
      </rPr>
      <t>2) Do you have more than 2yrs of working experience?</t>
    </r>
    <r>
      <rPr>
        <sz val="11"/>
        <color theme="1"/>
        <rFont val="Calibri"/>
        <family val="2"/>
        <scheme val="minor"/>
      </rPr>
      <t xml:space="preserve"> Answer: No
</t>
    </r>
    <r>
      <rPr>
        <b/>
        <sz val="11"/>
        <color theme="1"/>
        <rFont val="Calibri"/>
        <family val="2"/>
        <scheme val="minor"/>
      </rPr>
      <t>3) Do you have Basic competency in two or more of the following areas?</t>
    </r>
    <r>
      <rPr>
        <sz val="11"/>
        <color theme="1"/>
        <rFont val="Calibri"/>
        <family val="2"/>
        <scheme val="minor"/>
      </rPr>
      <t xml:space="preserve"> Answer: Yes
- Data visualization tool (e.g. Tableau, Qlik, PowerBI)
- SQL knowledge
- Programming or scripting language (e.g. Python, R, Java)
- Analytical software (e.g. SAS)
- Distributed architectures (e.g. HDFS, Hive)</t>
    </r>
  </si>
  <si>
    <t>JD Link</t>
  </si>
  <si>
    <t>$3,000 - $5,000</t>
  </si>
  <si>
    <t>Yan Yee, Edward, Keely</t>
  </si>
  <si>
    <t>Clear Screening Questions
(Yes/No)</t>
  </si>
  <si>
    <t>Current drawn salary</t>
  </si>
  <si>
    <t>Expected salary</t>
  </si>
  <si>
    <t>Notice Period/Availability</t>
  </si>
  <si>
    <t>Calvin Tay Yi Chun</t>
  </si>
  <si>
    <t>calvintay08@gmail.com</t>
  </si>
  <si>
    <t>linked.com/in/calvin-tay08</t>
  </si>
  <si>
    <t>Yes</t>
  </si>
  <si>
    <t xml:space="preserve">1 month </t>
  </si>
  <si>
    <t xml:space="preserve">Suitable for CE role </t>
  </si>
  <si>
    <t>TBC</t>
  </si>
  <si>
    <t>Lee Mei Huey Pauline</t>
  </si>
  <si>
    <t>pauline.mhlee@gmail.com</t>
  </si>
  <si>
    <t>https://www.linkedin.com/in/pauline-lee/</t>
  </si>
  <si>
    <t xml:space="preserve">To invite for online test for AABD </t>
  </si>
  <si>
    <t>Tay Chun Arn</t>
  </si>
  <si>
    <t>frazertca@gmail.com</t>
  </si>
  <si>
    <t>https://www.linkedin.com/in/frazertca/</t>
  </si>
  <si>
    <t>Shaun Tan De Jun</t>
  </si>
  <si>
    <t>shaundjt97@gmail.com</t>
  </si>
  <si>
    <t>https://www.linkedin.com/in/shauntandj/</t>
  </si>
  <si>
    <t>Kan Yow Kuen</t>
  </si>
  <si>
    <t>vincefnurb@gmail.com</t>
  </si>
  <si>
    <t>https://www.linkedin.com/mwlite/in/yow-kan-2165bb155</t>
  </si>
  <si>
    <t>Pek Wei Shan Walter</t>
  </si>
  <si>
    <t>walter_pek@hotmail.com</t>
  </si>
  <si>
    <t>https://www.linkedin.com/in/walter-pek-116a93157</t>
  </si>
  <si>
    <t>Sze Jian Hao</t>
  </si>
  <si>
    <t>sze.jianhao@gmail.com</t>
  </si>
  <si>
    <t>www.linkedin.com/in/jianhao-sze</t>
  </si>
  <si>
    <t>Wang Gawain</t>
  </si>
  <si>
    <t>GAWAIN93@HOTMAIL.COM</t>
  </si>
  <si>
    <t>https://www.linkedin.com/in/wanggawain/</t>
  </si>
  <si>
    <t>still keen</t>
  </si>
  <si>
    <t>Leow Zi Qiang</t>
  </si>
  <si>
    <t>leowziqiang@gmail.com</t>
  </si>
  <si>
    <t>https://www.linkedin.com/in/zi-qiang-leow/</t>
  </si>
  <si>
    <t>Chua Xin Nee</t>
  </si>
  <si>
    <t>avalonchua@hotmail.com</t>
  </si>
  <si>
    <t>http://linkedin.com/in/xin-nee-chua-149316ab</t>
  </si>
  <si>
    <t>Ng Ming Ern Samuel</t>
  </si>
  <si>
    <t>samuelngme@gmail.com</t>
  </si>
  <si>
    <t>https://www.linkedin.com/in/samuel-ng-912186119</t>
  </si>
  <si>
    <t>Tay Ji Liang</t>
  </si>
  <si>
    <t>jiliang.tay@ntu.edu.sg</t>
  </si>
  <si>
    <t>https://www.linkedin.com/in/tayjiliang</t>
  </si>
  <si>
    <t>Wong Jia Ling Vanessa</t>
  </si>
  <si>
    <t>illustrated5@gmail.com</t>
  </si>
  <si>
    <t>https://www.linkedin.com/in/vanessa-wong-0a748b142/</t>
  </si>
  <si>
    <t>Khoo Wei Ming</t>
  </si>
  <si>
    <t>bsispec@hotmail.com</t>
  </si>
  <si>
    <t>https://www.linkedin.com/in/weiming-khoo-01b36278/</t>
  </si>
  <si>
    <t>Rathnakala N</t>
  </si>
  <si>
    <t>rathnarajan329@gmail.com</t>
  </si>
  <si>
    <t>linkedin.com/in/rathnakala-natarajan-674636172</t>
  </si>
  <si>
    <t>Lim Poon Wei Jonathan</t>
  </si>
  <si>
    <t>jonathanlimpw@gmail.com</t>
  </si>
  <si>
    <t>https://drive.google.com/file/d/1ffdOQPfhMiWPrkiDUfGNAxcvZgliKtKH/view?usp=drivesdk</t>
  </si>
  <si>
    <t>lionel.ongtzemin@gmail.com</t>
  </si>
  <si>
    <t>attended SGUTP 1 sessions for Nucleus</t>
  </si>
  <si>
    <t>Jennifer Putri Franslay</t>
  </si>
  <si>
    <t>jenfranslay@hotmail.com</t>
  </si>
  <si>
    <t>https://drive.google.com/file/d/1PzjZVrVEXH0tDlLJ_Jr3KerKIMpTApWF/view?usp=sharing</t>
  </si>
  <si>
    <t>Ng Gian Min</t>
  </si>
  <si>
    <t>GianMinNg@gmail.com</t>
  </si>
  <si>
    <t>https://tinyurl.com/GianMinNg</t>
  </si>
  <si>
    <t>attended but was not interviewed</t>
  </si>
  <si>
    <t>Eko Widianto</t>
  </si>
  <si>
    <t>ekowidianto@outlook.com</t>
  </si>
  <si>
    <t>http://linkedin.com/in/eko-widianto</t>
  </si>
  <si>
    <t>Yeo Peng Heng</t>
  </si>
  <si>
    <t>pengheng555@gmail.com</t>
  </si>
  <si>
    <t>www.linkedin.com/in/yeopengheng</t>
  </si>
  <si>
    <t>Muhammad Faris Bin Mohamed</t>
  </si>
  <si>
    <t>thefarismd@icloud.com</t>
  </si>
  <si>
    <r>
      <rPr>
        <b/>
        <sz val="11"/>
        <color theme="1"/>
        <rFont val="Calibri"/>
        <family val="2"/>
        <scheme val="minor"/>
      </rPr>
      <t xml:space="preserve">1) Do you possess a Degree or Diploma in Computer Science/Computer Engineering/Information Technology related field? </t>
    </r>
    <r>
      <rPr>
        <sz val="11"/>
        <color theme="1"/>
        <rFont val="Calibri"/>
        <family val="2"/>
        <scheme val="minor"/>
      </rPr>
      <t xml:space="preserve">Answer: Yes
</t>
    </r>
    <r>
      <rPr>
        <b/>
        <sz val="11"/>
        <color theme="1"/>
        <rFont val="Calibri"/>
        <family val="2"/>
        <scheme val="minor"/>
      </rPr>
      <t xml:space="preserve">
2) Do you have more than 2yrs of working experience? </t>
    </r>
    <r>
      <rPr>
        <sz val="11"/>
        <color theme="1"/>
        <rFont val="Calibri"/>
        <family val="2"/>
        <scheme val="minor"/>
      </rPr>
      <t xml:space="preserve">Answer: No
</t>
    </r>
    <r>
      <rPr>
        <b/>
        <sz val="11"/>
        <color theme="1"/>
        <rFont val="Calibri"/>
        <family val="2"/>
        <scheme val="minor"/>
      </rPr>
      <t xml:space="preserve">
3) Do you have prior academic project/ experience developing mobile/ web application using Java or .NET? </t>
    </r>
    <r>
      <rPr>
        <sz val="11"/>
        <color theme="1"/>
        <rFont val="Calibri"/>
        <family val="2"/>
        <scheme val="minor"/>
      </rPr>
      <t>Answer: Yes</t>
    </r>
  </si>
  <si>
    <t>https://www.mycareersfuture.gov.sg/job/information-technology/software-engineer-ncs-1ae2aa3ff244a62853129940769c77f4?source=MCF&amp;event=RecommendedJobJD</t>
  </si>
  <si>
    <t>Nationality (Singapore/SPR)</t>
  </si>
  <si>
    <t>Priya Rajith</t>
  </si>
  <si>
    <t>priyarajith21@gmail.com</t>
  </si>
  <si>
    <t>https://www.linkedin.com/in/priya-rajith-74bb0546</t>
  </si>
  <si>
    <t>Jeremy Tan Teng Tat</t>
  </si>
  <si>
    <t>jeremytandev@gmail.com</t>
  </si>
  <si>
    <t>https://www.linkedin.com/in/jeremy-tan-4712b9162</t>
  </si>
  <si>
    <t>allowance 1.5k</t>
  </si>
  <si>
    <t>$4000-5000</t>
  </si>
  <si>
    <t>after 20 Dec 2020</t>
  </si>
  <si>
    <t>year 3 student in SIT, studying information security. Grad in Dec 2020. exp in tech stack - react, material ui (frontend), backend - .net core etc. SIT - integrated work study programme (4 days in office, 1 day in sch)</t>
  </si>
  <si>
    <t xml:space="preserve">Wed,2 Dec at 10am </t>
  </si>
  <si>
    <t>James Cheang Jia-Heng</t>
  </si>
  <si>
    <t>cheang.james@gmail.com</t>
  </si>
  <si>
    <t>https://www.linkedin.com/in/james-cheang-jia-heng/</t>
  </si>
  <si>
    <t>NA</t>
  </si>
  <si>
    <t>$3000-5000</t>
  </si>
  <si>
    <t>2 weeks</t>
  </si>
  <si>
    <t xml:space="preserve">came from credit risk background. To go into software developer role. Looking for more exposure in ict companies. Have used java and .net in course that he had went through a 1 year course (NUS ISS - Grad diploma in systems analysts). Python, C sharp, SQL, UI UX design principles. post grad dip in IT systems analysts. grad in mid-july 2020 from nus iss. </t>
  </si>
  <si>
    <t>Lim Zheng Kai</t>
  </si>
  <si>
    <t>fabienlimzk@gmail.com</t>
  </si>
  <si>
    <t>https://www.fabienlimzk.dev/</t>
  </si>
  <si>
    <t>Got an offer</t>
  </si>
  <si>
    <t>Zeng Yu Ting</t>
  </si>
  <si>
    <t>jillzyt25@gmail.com</t>
  </si>
  <si>
    <t>https://sg.linkedin.com/in/zeng-yu-ting</t>
  </si>
  <si>
    <t>No</t>
  </si>
  <si>
    <t xml:space="preserve">looking for internship in company in next summer. Currently doing web development. Currently year 2 in nus, grad in 2022. looking for sgut roles (software engineer). Associate engineer (system) or (software) ok. </t>
  </si>
  <si>
    <t>Mohamed Riswan</t>
  </si>
  <si>
    <t>mohamed_riswan@hotmail.com</t>
  </si>
  <si>
    <t>https://www.linkedin.com/in/mohd-riswan/</t>
  </si>
  <si>
    <t xml:space="preserve">$2600 basic. Variable pay $160/half year. $700 attachment allowance. </t>
  </si>
  <si>
    <t>$2800-$3000</t>
  </si>
  <si>
    <t>looking for development n expand skillset. Dip in IT, GRAD 2016. 2 years of working exp. Java related is about 1 year. Have exp in python, java (basic).</t>
  </si>
  <si>
    <t>Andrew Khong Zhi Yuan</t>
  </si>
  <si>
    <t>andrewkzy@gmail.com</t>
  </si>
  <si>
    <t>https://www.linkedin.com/in/andrewkzy/</t>
  </si>
  <si>
    <t>internship w ACN currently. Help to modernize legacy systems in java applications. Spring batch applications. Have exp .net in sch, more on java. Have interest in mobile applications.  Dec 2020 finish all modules.</t>
  </si>
  <si>
    <t>Lu Sicong</t>
  </si>
  <si>
    <t>lusicong22@gmail.com</t>
  </si>
  <si>
    <t>https://www.linkedin.com/in/simon-lu-sicong-09306382</t>
  </si>
  <si>
    <t>Cannot make it for interview on 10 Nov</t>
  </si>
  <si>
    <t>Yong Zhi Yuan</t>
  </si>
  <si>
    <t>zhiyuan_1994@yahoo.com.sg</t>
  </si>
  <si>
    <t>https://www.linkedin.com/in/zhi-yuan-yong/</t>
  </si>
  <si>
    <t>last drawn: $5000</t>
  </si>
  <si>
    <t>neg</t>
  </si>
  <si>
    <t xml:space="preserve">passionate in software engineering. Enjoys learning. Have done .net/java. Wrote article 40k views on programming concepts - Asynchronous. Spent summer holidays creating android application, created 2 ioS games using swift. Created desktop application on java. deg in computer science from NUS (finshed in 3.5 years instead of 4). grad in dec 2018. jul 2020 lwd in company felt that he had learnt enough. </t>
  </si>
  <si>
    <t>Wed, 2 Dec at 3:30pm</t>
  </si>
  <si>
    <t>Lim Hui Zhong</t>
  </si>
  <si>
    <t>hui.zhong90@gmail.com</t>
  </si>
  <si>
    <t>www.linkedin.com/in/hui-zhong-lim-30b979114</t>
  </si>
  <si>
    <r>
      <t xml:space="preserve">1) Do you have at least 3-5 years of experience in IT Security + G5 Governance and operations? </t>
    </r>
    <r>
      <rPr>
        <sz val="11"/>
        <color theme="1"/>
        <rFont val="Calibri"/>
        <family val="2"/>
        <scheme val="minor"/>
      </rPr>
      <t xml:space="preserve">Answer: Yes
</t>
    </r>
    <r>
      <rPr>
        <b/>
        <sz val="11"/>
        <color theme="1"/>
        <rFont val="Calibri"/>
        <family val="2"/>
        <scheme val="minor"/>
      </rPr>
      <t xml:space="preserve">
2) Do you possess Systems Security Certified Practitioner (SSCP)/ GIAC Certified Incident Handle (GCIH)/ Certified Information Security Manager (CISM)/ Certified Information Systems Security Professional (CISSP)? </t>
    </r>
    <r>
      <rPr>
        <sz val="11"/>
        <color theme="1"/>
        <rFont val="Calibri"/>
        <family val="2"/>
        <scheme val="minor"/>
      </rPr>
      <t>Answer: Yes/ No for information only, not for filtering</t>
    </r>
  </si>
  <si>
    <t>https://www.mycareersfuture.gov.sg/job/information-technology/systems-engineer-ncs-bdab00860091a921197c60b7eb1d4a87?source=MCF&amp;event=RecommendedJobJD</t>
  </si>
  <si>
    <t>$4,000 - $8,000</t>
  </si>
  <si>
    <t>Donny, Denise</t>
  </si>
  <si>
    <t>Mohamed Ghani Sabirulla</t>
  </si>
  <si>
    <t>mgsabirulla@gmail.com</t>
  </si>
  <si>
    <t>Darshanpriya Kaur Sethi</t>
  </si>
  <si>
    <t>sethidarshan1993@gmail.com</t>
  </si>
  <si>
    <t>https://www.linkedin.com/in/darshan-kaur-sethi-a6432a64</t>
  </si>
  <si>
    <t>30 days</t>
  </si>
  <si>
    <t>flag for 2nd round</t>
  </si>
  <si>
    <t>Muhammad Fazli Bin Mohammad Faiz</t>
  </si>
  <si>
    <t>Fazlibehappy@gmail.com</t>
  </si>
  <si>
    <t>https://www.linkedin.com/in/fazlibehappy/</t>
  </si>
  <si>
    <t>6000 - 7k</t>
  </si>
  <si>
    <t>Aung Thein Win</t>
  </si>
  <si>
    <t>aungtheinwin@gmail.com</t>
  </si>
  <si>
    <t>www.linkedin.com/in/aung-thein-win-david-20a6b16</t>
  </si>
  <si>
    <t>$7400-7500</t>
  </si>
  <si>
    <t>Potential for other roles</t>
  </si>
  <si>
    <t>John Stanley Marsh</t>
  </si>
  <si>
    <t>johnstanleymarsh@hotmail.com</t>
  </si>
  <si>
    <t>https://www.linkedin.com/in/johnstanleymarsh</t>
  </si>
  <si>
    <t>Srinivasan</t>
  </si>
  <si>
    <t>srini_brahma@hotmail.com</t>
  </si>
  <si>
    <t>no linkedin</t>
  </si>
  <si>
    <r>
      <t xml:space="preserve">Do you have prior experience with helpdesk or desktop related positions? </t>
    </r>
    <r>
      <rPr>
        <sz val="11"/>
        <color theme="1"/>
        <rFont val="Calibri"/>
        <family val="2"/>
        <scheme val="minor"/>
      </rPr>
      <t>Answer: Yes</t>
    </r>
  </si>
  <si>
    <t>https://www.mycareersfuture.gov.sg/job/information-technology/helpdesk-engineer-ncs-2078c1f960dd2b16128e149e4d65ed66</t>
  </si>
  <si>
    <t>$1,800 - $3,000</t>
  </si>
  <si>
    <t>Anas Wabil El Maghrabi</t>
  </si>
  <si>
    <t>elmaghrabi.anas@gmail.com</t>
  </si>
  <si>
    <t>http://linkedin.com/in/anas-el-maghrabi-831166185</t>
  </si>
  <si>
    <t>Mohd Sufian Bin Sai</t>
  </si>
  <si>
    <t>sufiansai2016@gmail.com</t>
  </si>
  <si>
    <t>https://www.linkedin.com/in/sufian-sai-b0baa11b2</t>
  </si>
  <si>
    <t>Thankappan Nair Sunil Kumar</t>
  </si>
  <si>
    <t>stagss@hotmail.com</t>
  </si>
  <si>
    <t>sunil nair</t>
  </si>
  <si>
    <t>open</t>
  </si>
  <si>
    <t>immediately</t>
  </si>
  <si>
    <t>Chang Li Chong (Kelvin)</t>
  </si>
  <si>
    <t>klcchang@singnet.com.sg</t>
  </si>
  <si>
    <t>MyCareerFuture IT Resume</t>
  </si>
  <si>
    <r>
      <t xml:space="preserve">1) Do you have prior working experiences in Network operation or implementation? </t>
    </r>
    <r>
      <rPr>
        <sz val="11"/>
        <color theme="1"/>
        <rFont val="Calibri"/>
        <family val="2"/>
        <scheme val="minor"/>
      </rPr>
      <t>Answer: Yes</t>
    </r>
    <r>
      <rPr>
        <b/>
        <sz val="11"/>
        <color theme="1"/>
        <rFont val="Calibri"/>
        <family val="2"/>
        <scheme val="minor"/>
      </rPr>
      <t xml:space="preserve">
2) Do you possess network/network security related certifications? Eg. CCNA/CCNP/CCIE/CISSP </t>
    </r>
    <r>
      <rPr>
        <sz val="11"/>
        <color theme="1"/>
        <rFont val="Calibri"/>
        <family val="2"/>
        <scheme val="minor"/>
      </rPr>
      <t>Answer: Yes</t>
    </r>
  </si>
  <si>
    <t>https://www1.mycareersfuture.gov.sg/job/information-technology/network-engineer-ncs-39c9da60def620cb974e34ceb1447b78</t>
  </si>
  <si>
    <t>$4,000 - $6,500</t>
  </si>
  <si>
    <t>Screening Information</t>
  </si>
  <si>
    <t>Jackson Seah Ping Kiat</t>
  </si>
  <si>
    <t>merakgate2@gmail.com</t>
  </si>
  <si>
    <t xml:space="preserve">$4.8K (grab driver) </t>
  </si>
  <si>
    <t>$4.5K</t>
  </si>
  <si>
    <t xml:space="preserve">Immediate </t>
  </si>
  <si>
    <t>CCNA - expired since a long time back - can go for recertified . Currently self employed. RFL : left ncs to start business , was with CE NCS before. 12 hours shift . Can try for CE and infra network engineer role</t>
  </si>
  <si>
    <t>Eldrige Kuek Kim Hee</t>
  </si>
  <si>
    <t>eldrige@hotmail.com</t>
  </si>
  <si>
    <t>https://www.linkedin.com/in/eldrige/</t>
  </si>
  <si>
    <t>$6000 basic + AWS + VB  ($80K - 90K annual)</t>
  </si>
  <si>
    <t xml:space="preserve">90K-100K per annum </t>
  </si>
  <si>
    <t xml:space="preserve">2 months </t>
  </si>
  <si>
    <t xml:space="preserve">will send to hiring manager on his profile </t>
  </si>
  <si>
    <t xml:space="preserve">CCNA - expired , technical side , technical requirements . RFL: trying new opportunity, open to both network /system /pm. Singapore born singaporean - CAT 1 cleared , open to cloud </t>
  </si>
  <si>
    <t>Tay Yong Lee</t>
  </si>
  <si>
    <t>yonglee.tay@gmail.com</t>
  </si>
  <si>
    <t>https://sg.linkedin.com/in/yonglee-tay-0902a445</t>
  </si>
  <si>
    <t>Still keen</t>
  </si>
  <si>
    <t>Ho Wing Yew</t>
  </si>
  <si>
    <t>robinhowy@gmail.com</t>
  </si>
  <si>
    <t>http://www.linkedin.com/in/robin-ho-9731925</t>
  </si>
  <si>
    <t xml:space="preserve">$3200 basic +AWS+ VB (1-1.5) </t>
  </si>
  <si>
    <t>$4200 (nego)</t>
  </si>
  <si>
    <t xml:space="preserve">CCNA achieved 2014 , expired in 2017 - has intention to review. Just left DTZ 31 Oct , RFL: company going for outsourcing, made redundant. Able to support 24/7 . Able to explore shift . Singapore born Singaporean </t>
  </si>
  <si>
    <t xml:space="preserve">$3150 Basic + no AWS (contract) </t>
  </si>
  <si>
    <t xml:space="preserve">nego </t>
  </si>
  <si>
    <t xml:space="preserve">apply in system but open to network. migration support - desktop. Has lithan hall IT support certification. Open to 12 hours shift - can try cloud operator </t>
  </si>
  <si>
    <r>
      <t xml:space="preserve">1) Do you have more than 5 years of ETL experience? </t>
    </r>
    <r>
      <rPr>
        <sz val="11"/>
        <color theme="1"/>
        <rFont val="Calibri"/>
        <family val="2"/>
        <scheme val="minor"/>
      </rPr>
      <t xml:space="preserve">Answer: Yes
</t>
    </r>
    <r>
      <rPr>
        <b/>
        <sz val="11"/>
        <color theme="1"/>
        <rFont val="Calibri"/>
        <family val="2"/>
        <scheme val="minor"/>
      </rPr>
      <t xml:space="preserve">
2) Do you have strong hands on implementation exp in either Talend or Informatica BDM? </t>
    </r>
    <r>
      <rPr>
        <sz val="11"/>
        <color theme="1"/>
        <rFont val="Calibri"/>
        <family val="2"/>
        <scheme val="minor"/>
      </rPr>
      <t>Answer: Yes</t>
    </r>
  </si>
  <si>
    <t>https://www.mycareersfuture.gov.sg/job/information-technology/data-management-consultant-ncs-d048e5136c00d944e96adb086b60f307?utm_campaign=google_jobs_apply&amp;utm_source=google_jobs_apply&amp;utm_medium=organic</t>
  </si>
  <si>
    <t>$5,000 - $10,000</t>
  </si>
  <si>
    <t>Jason Oh</t>
  </si>
  <si>
    <t>ojh_jason@hotmail.com</t>
  </si>
  <si>
    <t>https://www.linkedin.com/in/ojhjason/</t>
  </si>
  <si>
    <t>Kyaw Zeya</t>
  </si>
  <si>
    <t>kyaw.zeya@outlook.com</t>
  </si>
  <si>
    <t>http://linkedin.com/in/kyaw-zeya-9247a95</t>
  </si>
  <si>
    <t>S$8159x13 + 1.2mth VB</t>
  </si>
  <si>
    <t xml:space="preserve">7k - 7.5k (nego) </t>
  </si>
  <si>
    <r>
      <t xml:space="preserve">Do you have at least 3 years of experience as a Java / .NET programmer? </t>
    </r>
    <r>
      <rPr>
        <sz val="11"/>
        <color theme="1"/>
        <rFont val="Calibri"/>
        <family val="2"/>
        <scheme val="minor"/>
      </rPr>
      <t>Answer: Yes</t>
    </r>
  </si>
  <si>
    <t>https://www1.mycareersfuture.gov.sg/job/information-technology/software-engineer-ncs-1ae2aa3ff244a62853129940769c77f4</t>
  </si>
  <si>
    <t>Krishnasamy Brindha</t>
  </si>
  <si>
    <t>brindha1909@gmail.com</t>
  </si>
  <si>
    <t>$2800 basic (Contract role)
No AWS/VB but has $200 "bonus" every year</t>
  </si>
  <si>
    <t>28 Jan 21 onwards available</t>
  </si>
  <si>
    <t>Long notice period. Hiring manager needs candidates with shorter notice
Will KIV for other projects</t>
  </si>
  <si>
    <t xml:space="preserve">.Net
Left job in 2018 (just strated to search for a job)
Last position was vendor governing (software designer)
ASP and MVC framework
more of a functional experience (last job)
C#, ASP, MVC ok
Not much experience in Angular
DC ok
Brindha1909@gmail.com
</t>
  </si>
  <si>
    <t>Low Yingwei</t>
  </si>
  <si>
    <t>steve.lowyw@gmail.com</t>
  </si>
  <si>
    <t>https://www.linkedin.com/in/yingwei-steve-low/</t>
  </si>
  <si>
    <t>Basic $4,000/- $400 Tansport allowance</t>
  </si>
  <si>
    <t xml:space="preserve"> 4K to 5K</t>
  </si>
  <si>
    <t>Offered but rejected, took up another offer with higher salary</t>
  </si>
  <si>
    <t>17/11/2020
$PM</t>
  </si>
  <si>
    <t>Manickam Sasikala</t>
  </si>
  <si>
    <t>sasikala.mukil@gmail.com</t>
  </si>
  <si>
    <t>https://www.linkedin.com/in/sasikala-elaya-6a595728</t>
  </si>
  <si>
    <t xml:space="preserve">$3000 basic + no bonuses, travelling allowances (reim)
</t>
  </si>
  <si>
    <t>Immed</t>
  </si>
  <si>
    <t>Not shortlisted for interviews</t>
  </si>
  <si>
    <t>-</t>
  </si>
  <si>
    <t xml:space="preserve">Test cases, scenarios
Java and met have experience
Past 2 years test engineer
Previously did development
Development (fist choice)
C# can
Angular
ASP.net 10 years ago
VB.net 
Open to contract
Jul 2020 last job - contract ended
Monard infotec+R:Uh - 2 years
Sasikala.mukil@gmail.com
SPR
</t>
  </si>
  <si>
    <t>Chua Zhi Hong</t>
  </si>
  <si>
    <t>kendrikchuazh@gmail.com</t>
  </si>
  <si>
    <t>https://www.linkedin.com/in/kendrik-chua-50583437/</t>
  </si>
  <si>
    <t>Basic 3.6K, VB - 2 months</t>
  </si>
  <si>
    <t>4K</t>
  </si>
  <si>
    <t>IT support for Retail Sales, Java/J2EE, coding in Java JavaScript, Tomcat7 server, MYSQL, Avaya System (a global communication device)</t>
  </si>
  <si>
    <t>Sharib Anis</t>
  </si>
  <si>
    <t>sharib.anis@live.com</t>
  </si>
  <si>
    <t>https://1drv.ms/u/s!Ak-pnRxC6ZDogkA1i2rNTor2hoC8?e=DAPuGR</t>
  </si>
  <si>
    <t>Basic 8.5K</t>
  </si>
  <si>
    <t>7K</t>
  </si>
  <si>
    <t>Converted Singaporean Java Developer | team lead exp of 5 to 8 | 80% covering Java developing work | Banking industry  10 years of experience in software development in Java, Python, Kotlin, HTML, CSS, JavaScript, XML, JSON, Oracle PL/SQL, MySQL, PostgreSQL DB, Mongo DB, JSP, SOAP API, REST API, Angular, Node.js, Data extract, transform, load (ETL), Ant, Maven, Gradle, Git, Docker, Spring Boot, Linux Shell (BASH), Apache Tomcat, Jetty, Crystal Reports Business Intelligence development</t>
  </si>
  <si>
    <t>Gnanamuthu Sasikala</t>
  </si>
  <si>
    <t>sasisa32@gmail.com</t>
  </si>
  <si>
    <t>https://github.com/gSasikala</t>
  </si>
  <si>
    <t>Muruganandam Subbaiyan</t>
  </si>
  <si>
    <t>rsmuruga@hotmail.com</t>
  </si>
  <si>
    <t>https://www.linkedin.com/in/muruganandam-subbaiyan-0b68a148/</t>
  </si>
  <si>
    <t>basic 7.5K</t>
  </si>
  <si>
    <t>7.5K to 8K</t>
  </si>
  <si>
    <t xml:space="preserve">.net over 10 yrs exp. 5 to 6 Full SDLC project
Domain - Healthcare, Telco, banking, trading | team lead exp 2 to 4 </t>
  </si>
  <si>
    <r>
      <t xml:space="preserve">1) Do you have strong prior experience in Data Analytics/ Java/ .NET programming. </t>
    </r>
    <r>
      <rPr>
        <sz val="11"/>
        <color theme="1"/>
        <rFont val="Calibri"/>
        <family val="2"/>
        <scheme val="minor"/>
      </rPr>
      <t xml:space="preserve">Answer: Yes
</t>
    </r>
    <r>
      <rPr>
        <b/>
        <sz val="11"/>
        <color theme="1"/>
        <rFont val="Calibri"/>
        <family val="2"/>
        <scheme val="minor"/>
      </rPr>
      <t xml:space="preserve">
2) Do you have at least 1-5 yr of experience in end to end Project Management? </t>
    </r>
    <r>
      <rPr>
        <sz val="11"/>
        <color theme="1"/>
        <rFont val="Calibri"/>
        <family val="2"/>
        <scheme val="minor"/>
      </rPr>
      <t>Answer: Yes</t>
    </r>
  </si>
  <si>
    <t>https://www1.mycareersfuture.gov.sg/job/information-technology/senior-project-manager-ncs-2507baeadc78b74431c78dd7d62daf67?source=MCF&amp;event=RecommendedJobJD&amp;utm_campaign=google_jobs_apply&amp;utm_source=google_jobs_apply&amp;utm_medium=organic</t>
  </si>
  <si>
    <t>$6,000 - $11,500</t>
  </si>
  <si>
    <t>Yanamandra Laxmi Narasimha Rao</t>
  </si>
  <si>
    <t>raoypmp@gmail.com</t>
  </si>
  <si>
    <t>https://www.linkedin.com/in/raoyanamandra/</t>
  </si>
  <si>
    <t>$9500Basic +AWS +18% VB</t>
  </si>
  <si>
    <t>$9000 (Neg)</t>
  </si>
  <si>
    <t>Immediately</t>
  </si>
  <si>
    <t>Cisco System - 10 Nov  (Covid retrentch)
Data Analytics</t>
  </si>
  <si>
    <t>Rafael Shirley Boo</t>
  </si>
  <si>
    <t>shirleyrafael25@gmail.com</t>
  </si>
  <si>
    <t>https://www.linkedin.com/in/sbrafael/</t>
  </si>
  <si>
    <t>$6500 Basic+1CB</t>
  </si>
  <si>
    <t>$6000-$7000 Basic</t>
  </si>
  <si>
    <t>Java. Quit job to take care of sickly daughter.Can try HCCProfiled to Eugene (Portal)</t>
  </si>
  <si>
    <t>Karunanithi Nataraj</t>
  </si>
  <si>
    <t>natarajk@gmail.com</t>
  </si>
  <si>
    <t>https://www.linkedin.com/in/nataraj-karunanithi-97630720</t>
  </si>
  <si>
    <t>Murugesan Raja Priya</t>
  </si>
  <si>
    <t>mrajapriya@gmail.com</t>
  </si>
  <si>
    <t>https://www.linkedin.com/in/priya-murugesan-8a908828</t>
  </si>
  <si>
    <t>$6700 Basic + Allowance $500 avg</t>
  </si>
  <si>
    <t>$7000-$7500 Basic</t>
  </si>
  <si>
    <t xml:space="preserve">.NET.
Converted SGP. 
Contract ending Jan 2021.
To share with Lotte, wont be considering for PM
</t>
  </si>
  <si>
    <t>Tan Kwang Hwee</t>
  </si>
  <si>
    <t>tankhvic4@yahoo.com.sg</t>
  </si>
  <si>
    <t>https://www.linkedin.com/mwlite/in/kwang-hwee-光辉）-tan-（陈）-93abb610</t>
  </si>
  <si>
    <t>$9900 Basic + 2.5VB</t>
  </si>
  <si>
    <t>$11000 Basic
($7000-$7800)</t>
  </si>
  <si>
    <t>Wife SPR MalaysianProfile to Eileen Yap</t>
  </si>
  <si>
    <t>Bhimanwar Sachin Suhas</t>
  </si>
  <si>
    <t>sachinsb1@gmail.com</t>
  </si>
  <si>
    <t>https://www.linkedin.com/in/sachin-bhimanwar-pmp-a-csm-itil-oca-1734782?lipi=urn%3Ali%3Apage%3Ad_flagship3_profile_view_base_contact_details%3Bjj%2FRrV8URumVXre3VmDCww%3D%3D</t>
  </si>
  <si>
    <t>$7500 Basic x12</t>
  </si>
  <si>
    <t>$8500 (Neg)</t>
  </si>
  <si>
    <t>Project ended hence avail immediately.Data Analytics -&gt; PEGA</t>
  </si>
  <si>
    <t>Rajshaker Karanam</t>
  </si>
  <si>
    <t>rajashekarkk@gmail.com</t>
  </si>
  <si>
    <t>https://www.linkedin.com/in/rajashekar-karanam-76802842/</t>
  </si>
  <si>
    <t>Dogiparthy Sreenivasa Rao</t>
  </si>
  <si>
    <t>ds32bit@gmail.com</t>
  </si>
  <si>
    <t>http://54.169.39.123/ProjectManager_Sreenivas%20Dogiparthy.docx</t>
  </si>
  <si>
    <t>Victor Auxilium S/O Susainathan</t>
  </si>
  <si>
    <t>victor.auxilium@gmail.com</t>
  </si>
  <si>
    <t>www.linkedin.com/in/victorauxil/</t>
  </si>
  <si>
    <t>$9000 Basic (Contract)</t>
  </si>
  <si>
    <t>$7500-$7800 Basic</t>
  </si>
  <si>
    <t>Data Analytics
Contract completed.
Converted SGP
Profiled to Data Analytics</t>
  </si>
  <si>
    <t>Li Yixun</t>
  </si>
  <si>
    <t>real.li.yixun@gmail.com</t>
  </si>
  <si>
    <t>https://www.linkedin.com/in/yixun-li-77808a1b6/</t>
  </si>
  <si>
    <t>$8700 Basic x12 + 10%VB</t>
  </si>
  <si>
    <t>$6000-$9000</t>
  </si>
  <si>
    <t>2021 onwards</t>
  </si>
  <si>
    <t xml:space="preserve">.NET
Organization cutting down manpower.
Profiled to Henry TJan
</t>
  </si>
  <si>
    <t>Nicodemus Chan</t>
  </si>
  <si>
    <t>chan.nicodemus@gmail.com</t>
  </si>
  <si>
    <t>https://www.linkedin.com/in/nicodemus-chan/</t>
  </si>
  <si>
    <t>Has been a lecturer for past 10yrs. Do not have strong PM background in organization</t>
  </si>
  <si>
    <t>Teo Hui Kiat Lawrence</t>
  </si>
  <si>
    <t>teohuikiat@yahoo.com.sg</t>
  </si>
  <si>
    <t>www.linkedin.com/in/lawrence-teo-46339131</t>
  </si>
  <si>
    <t>$7000 Basic (perm)</t>
  </si>
  <si>
    <t>$8000-$9000 (ok $7500)</t>
  </si>
  <si>
    <t>3 months (Neg to 2.5months)</t>
  </si>
  <si>
    <t>.NET
-Jaguar, wasn’t doing well hence decided to be a house husband.
Profiled to Sok Koon</t>
  </si>
  <si>
    <r>
      <t xml:space="preserve">Do you have prior experience in Public Key Infrastructure (PKI)/ Identity &amp; Access Management Systems (IAM)? </t>
    </r>
    <r>
      <rPr>
        <sz val="11"/>
        <color theme="1"/>
        <rFont val="Calibri"/>
        <family val="2"/>
        <scheme val="minor"/>
      </rPr>
      <t>Answer: Yes</t>
    </r>
  </si>
  <si>
    <t>https://www.mycareersfuture.gov.sg/job/information-technology/security-consultant-ncs-840d00d294a837dca23f27ff962f456c</t>
  </si>
  <si>
    <t>$3,500 - $6,000</t>
  </si>
  <si>
    <t>Jessica Ho (TW)</t>
  </si>
  <si>
    <t>Tan Boon Chye</t>
  </si>
  <si>
    <t>tanboonchye@gmail.com</t>
  </si>
  <si>
    <t>https://www.linkedin.com/in/boon-chye-tan-b95a441</t>
  </si>
  <si>
    <t>Jessica</t>
  </si>
  <si>
    <t xml:space="preserve">$4100 * 13th mth </t>
  </si>
  <si>
    <t>$5000 basic</t>
  </si>
  <si>
    <t>1 month or less</t>
  </si>
  <si>
    <t>Hiring manager has interviewed. Pending to offer</t>
  </si>
  <si>
    <t>12 Nov/9am</t>
  </si>
  <si>
    <t>Vijetha MB</t>
  </si>
  <si>
    <t>vijetha.basavaraj@gmail.com</t>
  </si>
  <si>
    <t>$4500 *12mth</t>
  </si>
  <si>
    <t>more than $4500</t>
  </si>
  <si>
    <t>Hiring manager has rejected.lack of experience</t>
  </si>
  <si>
    <t>12 Nov/10.30am</t>
  </si>
  <si>
    <r>
      <t>1) Do you possess at least 2 years of network experience?</t>
    </r>
    <r>
      <rPr>
        <sz val="11"/>
        <color theme="1"/>
        <rFont val="Calibri"/>
        <family val="2"/>
        <scheme val="minor"/>
      </rPr>
      <t xml:space="preserve"> Answer: Yes
</t>
    </r>
    <r>
      <rPr>
        <b/>
        <sz val="11"/>
        <color theme="1"/>
        <rFont val="Calibri"/>
        <family val="2"/>
        <scheme val="minor"/>
      </rPr>
      <t xml:space="preserve">
2) Do you possess hands-on project implementation experience, specifically in 3 tiers firewall OR Splunk/IBM Qradar/NDR (either one)OR McAfee Proxy OR End-point solution (Symantec etc)? </t>
    </r>
    <r>
      <rPr>
        <sz val="11"/>
        <color theme="1"/>
        <rFont val="Calibri"/>
        <family val="2"/>
        <scheme val="minor"/>
      </rPr>
      <t>Answer: Yes</t>
    </r>
  </si>
  <si>
    <t>https://www.mycareersfuture.gov.sg/job/information-technology/systems-network-security-consultant-ncs-7ba28c8837801e006ebfe20674267a6d</t>
  </si>
  <si>
    <t>$2,800 - $5,300</t>
  </si>
  <si>
    <t>Wong Jin Pern</t>
  </si>
  <si>
    <t>wongjp@outlook.com</t>
  </si>
  <si>
    <t>https://www.linkedin.com/in/jinpernwong/</t>
  </si>
  <si>
    <t>Deepak Muralidharan Kamalakumari</t>
  </si>
  <si>
    <t>deepakmkk@hotmail.com</t>
  </si>
  <si>
    <t>https://www.linkedin.com/in/deepak-muralidharan-k-18b79241</t>
  </si>
  <si>
    <t>Vincent Vinu Edward</t>
  </si>
  <si>
    <t>vinedwa@gmail.com</t>
  </si>
  <si>
    <t>http://www.linkedin.com/in/vincent-edward</t>
  </si>
  <si>
    <t>$13200 base + AWS + VB</t>
  </si>
  <si>
    <t>$6000 - 8000 base</t>
  </si>
  <si>
    <t>Has been in a management role for 15+ years. Currently manages teams in 2 countries - SG and Vietnam. Too senior for the role.</t>
  </si>
  <si>
    <t>Pathmanathan Thilebaraj</t>
  </si>
  <si>
    <t>thileb11@gmail.com</t>
  </si>
  <si>
    <t>https://www.linkedin.com/in/thilebaraj-pathmanathan-b92b74118</t>
  </si>
  <si>
    <t>$4500 base + VB</t>
  </si>
  <si>
    <t>$5000 base negotiable</t>
  </si>
  <si>
    <t>Shared CV with the business and was shortlisted for an interview. Possesses hands-on project implementation experience with c.3 years of network experience. Has experience in firewalls, log management, 2 Factor Authentication, IPS ,
Password Management. Using Splunk now too even though he doesn't have in-depth knowledge of it.</t>
  </si>
  <si>
    <r>
      <t xml:space="preserve">1) Do you have at least 3-5 years of experience in IT Security Governance and operations? </t>
    </r>
    <r>
      <rPr>
        <sz val="11"/>
        <color theme="1"/>
        <rFont val="Calibri"/>
        <family val="2"/>
        <scheme val="minor"/>
      </rPr>
      <t xml:space="preserve">Answer: Yes
</t>
    </r>
    <r>
      <rPr>
        <b/>
        <sz val="11"/>
        <color theme="1"/>
        <rFont val="Calibri"/>
        <family val="2"/>
        <scheme val="minor"/>
      </rPr>
      <t xml:space="preserve">
2) Do you possess Systems Security Certified Practitioner (SSCP)/ GIAC Certified Incident Handler (GCIH)/ Certified Information Security Manager (CISM)/ Certified Information Systems Security Professional (CISSP)? </t>
    </r>
    <r>
      <rPr>
        <sz val="11"/>
        <color theme="1"/>
        <rFont val="Calibri"/>
        <family val="2"/>
        <scheme val="minor"/>
      </rPr>
      <t>Answer: Yes/ No for information only, not for filtering</t>
    </r>
  </si>
  <si>
    <t>https://www.mycareersfuture.gov.sg/job/information-technology/security-consultant-ncs-fea65a843733a49c3a4c154fdc66a094?utm_campaign=google_jobs_apply&amp;utm_source=google_jobs_apply&amp;utm_medium=organic</t>
  </si>
  <si>
    <t>$4,500 - $8,000</t>
  </si>
  <si>
    <t>Mohammed Shahid Ahmed</t>
  </si>
  <si>
    <t>mdshahids@gmail.com</t>
  </si>
  <si>
    <t>https://sg.linkedin.com/in/mdshahid</t>
  </si>
  <si>
    <t>USD10,000 + VB</t>
  </si>
  <si>
    <t>Negotiable</t>
  </si>
  <si>
    <t>3 months but can reduce to 1 mth</t>
  </si>
  <si>
    <t>Submit to hiring manager</t>
  </si>
  <si>
    <t>12Nov/2.45pm</t>
  </si>
  <si>
    <t>1 mth</t>
  </si>
  <si>
    <t>Muhammad Yusri bin Osman</t>
  </si>
  <si>
    <t>muhd.yusri.osman@gmail.com</t>
  </si>
  <si>
    <t>https://www.linkedin.com/in/muhammad-yusri-bin-osman-3b730059</t>
  </si>
  <si>
    <t>$4300 * 12mth + 1 mth bonus</t>
  </si>
  <si>
    <t>$4900 (nego)</t>
  </si>
  <si>
    <t>Offer approved. Pending Candidate's acceptance</t>
  </si>
  <si>
    <t>12Nov/2.15pm</t>
  </si>
  <si>
    <t>Law Chee Keong</t>
  </si>
  <si>
    <t>lawck1972@gmail.com</t>
  </si>
  <si>
    <t>https://www.linkedin.com/in/law-chee-keong-350843/</t>
  </si>
  <si>
    <t>Aarti Panwar</t>
  </si>
  <si>
    <t>bistaart03@gmail.com</t>
  </si>
  <si>
    <t>http://linkedin.com/in/aarti-panwar-51a0b2154</t>
  </si>
  <si>
    <t>Lee Yee Poh</t>
  </si>
  <si>
    <t>michaelleeyp@gmail.com</t>
  </si>
  <si>
    <t>www.linkedin.com/in/michaelleeyp</t>
  </si>
  <si>
    <t>13000 * 13mth</t>
  </si>
  <si>
    <t>8000-13000</t>
  </si>
  <si>
    <t>Hiring manager to interview</t>
  </si>
  <si>
    <t>12Nov/2.30pm</t>
  </si>
  <si>
    <t>Chong Kai Pui</t>
  </si>
  <si>
    <t>kpchong2000@yahoo.com.sg</t>
  </si>
  <si>
    <t>https://sg.linkedin.com/in/kai-pui-chong</t>
  </si>
  <si>
    <t xml:space="preserve">$9500 at Ingram </t>
  </si>
  <si>
    <t>$9500 Negotiable</t>
  </si>
  <si>
    <t>12Nov/2pm</t>
  </si>
  <si>
    <t>End Jan/ early Feb 2021</t>
  </si>
  <si>
    <r>
      <t xml:space="preserve">1) Do you possess any IT/Computer Science related education qualification? </t>
    </r>
    <r>
      <rPr>
        <sz val="11"/>
        <color theme="1"/>
        <rFont val="Calibri"/>
        <family val="2"/>
        <scheme val="minor"/>
      </rPr>
      <t>Answer: Yes</t>
    </r>
    <r>
      <rPr>
        <b/>
        <sz val="11"/>
        <color theme="1"/>
        <rFont val="Calibri"/>
        <family val="2"/>
        <scheme val="minor"/>
      </rPr>
      <t xml:space="preserve">
2) Do you have any prior working experiences in IT infrastructure? </t>
    </r>
    <r>
      <rPr>
        <sz val="11"/>
        <color theme="1"/>
        <rFont val="Calibri"/>
        <family val="2"/>
        <scheme val="minor"/>
      </rPr>
      <t>Answer: Yes</t>
    </r>
  </si>
  <si>
    <t>https://www.mycareersfuture.gov.sg/job/banking-finance/devops-engineer-zentact-systems-fd89ba10ca258f1a75d8999ee9723d5f</t>
  </si>
  <si>
    <t>$5,000 - $6,000</t>
  </si>
  <si>
    <t>Jamal Abul Galam Azad</t>
  </si>
  <si>
    <t>j_abul@hotmail.com</t>
  </si>
  <si>
    <t>https://www.linkedin.com/in/azad-jamal-aa655910a</t>
  </si>
  <si>
    <t xml:space="preserve">Joyce </t>
  </si>
  <si>
    <t xml:space="preserve">$6800 + Allowances TPT , no AWS </t>
  </si>
  <si>
    <t>nego</t>
  </si>
  <si>
    <t>CV sent - DevOps</t>
  </si>
  <si>
    <t>Prefer DevOps (more suitable for devops). Can open to cloud ops too . Working experience in building automation . Software development experiences not infra. Nice personality and willing to learn</t>
  </si>
  <si>
    <t>Wong Kah Seong</t>
  </si>
  <si>
    <t>alvinwong2266@gmail.com</t>
  </si>
  <si>
    <t>Not applicable</t>
  </si>
  <si>
    <t>Sent to Jaclyn but not sure if she can take</t>
  </si>
  <si>
    <t>Indra Gunawan Gani</t>
  </si>
  <si>
    <t>indragg@gmail.com</t>
  </si>
  <si>
    <t>https://sg.linkedin.com/in/indra-gunawan-gani</t>
  </si>
  <si>
    <t>Chi Beng Hwee</t>
  </si>
  <si>
    <t>jonchi72@hotmail.com</t>
  </si>
  <si>
    <t>https://www.linkedin.com/in/beng-hwee-c-b906bb95</t>
  </si>
  <si>
    <t xml:space="preserve">$6500 basic , 2 months bonus </t>
  </si>
  <si>
    <t xml:space="preserve">  on par </t>
  </si>
  <si>
    <t>CV Sent -CloudOps</t>
  </si>
  <si>
    <t>V much Prefer cloud. He wanted to explore new areas. Good, has exp in security area, currently with ST. not so incline to continue in security . V enthu in cloud, went to take some aws cert</t>
  </si>
  <si>
    <t>Choy Wai Giat</t>
  </si>
  <si>
    <t>choy.waigiat@gmail.com</t>
  </si>
  <si>
    <t>https://1drv.ms/w/s!AIFWJ92FfaUnkBIci5WVs_JcnkDN?e=ft28f3</t>
  </si>
  <si>
    <t xml:space="preserve">RFL: looking at other possibilities to do other scope. Wanted to switch to backend - server </t>
  </si>
  <si>
    <t>Chan Wai Meng</t>
  </si>
  <si>
    <t>waimeng.chan@gmail.com</t>
  </si>
  <si>
    <t>linkedin.com/in/calvinchanwm/</t>
  </si>
  <si>
    <t>$7781 basic + AWS + VB (1-2)</t>
  </si>
  <si>
    <t>Neg</t>
  </si>
  <si>
    <t>CV Sent -Devops</t>
  </si>
  <si>
    <t xml:space="preserve">keen in DevOps. V good speaking and down to earth guy. Been in 25 years with seagate. RFL: workforce reduction . Drop him a text to get his resume </t>
  </si>
  <si>
    <t>Abdul Wahab Bin Sahari</t>
  </si>
  <si>
    <t>wahab.sahari@gmail.com</t>
  </si>
  <si>
    <t>https://www.linkedin.com/in/wahabsahari/</t>
  </si>
  <si>
    <t xml:space="preserve">Yes </t>
  </si>
  <si>
    <t>$5.3K basic+ AWS+ VB (1) + flex benefits (1.5K)</t>
  </si>
  <si>
    <t>Keen in CloudOps. Got his CV. Retreched with Maersk</t>
  </si>
  <si>
    <t>Mohamed Farikh Bin Mohamed Ali</t>
  </si>
  <si>
    <t>mdfarikh@gmail.com</t>
  </si>
  <si>
    <t>https://drive.google.com/file/d/1dtf5IMtib-4ThddjyS5N-33QrLA4-yqQ/view?usp=drivesdk</t>
  </si>
  <si>
    <t xml:space="preserve">$6.8K (1 year - SMU international trading) - 8plus international </t>
  </si>
  <si>
    <t xml:space="preserve">Open </t>
  </si>
  <si>
    <t>CV Sent -Both Cloud &amp;Devops</t>
  </si>
  <si>
    <t xml:space="preserve">Keen in both cloud and devops. . Exp in IT infrastructure </t>
  </si>
  <si>
    <t>Quek Hui Chai</t>
  </si>
  <si>
    <t>cecilquek@hotmail.com</t>
  </si>
  <si>
    <t>https://www.linkedin.com/in/hui-chai-quek-a496b18a/</t>
  </si>
  <si>
    <t xml:space="preserve">$3.6K + year end bonus </t>
  </si>
  <si>
    <t xml:space="preserve">Match </t>
  </si>
  <si>
    <t>Prefer cloud: Left them in 30 April , operation change . To send him email to get resume: cecilquek@hotmail.com</t>
  </si>
  <si>
    <t>Ching Kim Siong</t>
  </si>
  <si>
    <t>chingks2003@gmail.com</t>
  </si>
  <si>
    <t>https://drive.google.com/file/d/1F7NrqD0ThSQptnKPnFyHeH4H-KtUouv0/view?usp=drivesdk</t>
  </si>
  <si>
    <t>$10K (expat posted to indonesia)</t>
  </si>
  <si>
    <t>He can consider both cloud and devops. Good in comms, ops director is his last position. Currently a contractor with singtel (as agency)</t>
  </si>
  <si>
    <t>Kamarozaman Bin Kosnan</t>
  </si>
  <si>
    <t>kama@digitao.co</t>
  </si>
  <si>
    <t>https://www.linkedin.com/in/kama-nk-08564b172/</t>
  </si>
  <si>
    <t>Sent to Jaclyn</t>
  </si>
  <si>
    <t>keen in cloud - No infra IT expereinces , he is doing digital marketing . Obtained Diploma in tech, degree in biz mangament . Self learn coding . He didn’t have much background understanding for cloud</t>
  </si>
  <si>
    <t>Roy Palathinkal Thomas</t>
  </si>
  <si>
    <t>roy_p_thomas@hotmail.com</t>
  </si>
  <si>
    <t>https://www.dropbox.com/s/pmzi5390w00jnw4/Roy%20Thomas%20V3.0.pdf?dl=0</t>
  </si>
  <si>
    <t>went for tesa systems interview</t>
  </si>
  <si>
    <t>Kanaparthi Nagamani</t>
  </si>
  <si>
    <t>nmk120416@gmail.com</t>
  </si>
  <si>
    <t>https://www.linkedin.com/mwlite/in/kanaparthi-nagamani-81959573</t>
  </si>
  <si>
    <t xml:space="preserve">$5K + AWS + 2 months Bonus </t>
  </si>
  <si>
    <t xml:space="preserve">Neg , basic : $5K </t>
  </si>
  <si>
    <t>CV sent - both Devops and CloudOps</t>
  </si>
  <si>
    <t>RFL: contract ended . Open to cloud &amp; Devops. Prefer Cloud . Comm skills: Average.  Sent her a text to get her cv</t>
  </si>
  <si>
    <r>
      <t xml:space="preserve">Do you have Basic IT knowledge or taken any IT courses/certification? </t>
    </r>
    <r>
      <rPr>
        <sz val="11"/>
        <color theme="1"/>
        <rFont val="Calibri"/>
        <family val="2"/>
        <scheme val="minor"/>
      </rPr>
      <t>Answer: Yes</t>
    </r>
  </si>
  <si>
    <t>https://www.mycareersfuture.gov.sg/job/information-technology/systems-engineer-ncs-bdab00860091a921197c60b7eb1d4a87?source=MCF&amp;event=RecommendedJobJD&amp;utm_campaign=google_jobs_apply&amp;utm_source=google_jobs_apply&amp;utm_medium=organic</t>
  </si>
  <si>
    <t>Column1</t>
  </si>
  <si>
    <t>Yap Leong Ho</t>
  </si>
  <si>
    <t>YLL867@gmail.com</t>
  </si>
  <si>
    <t>Linkedln resume</t>
  </si>
  <si>
    <t>3000 - 5000</t>
  </si>
  <si>
    <t>almost immediately</t>
  </si>
  <si>
    <t xml:space="preserve">willing to learn and contribute
64 years old and retired from SMRT </t>
  </si>
  <si>
    <t>Leow Wee Ron Terry</t>
  </si>
  <si>
    <t>leow.terry@gmail.com</t>
  </si>
  <si>
    <t>https://www.linkedin.com/in/terryleow</t>
  </si>
  <si>
    <t>more towards presales role, good spoken</t>
  </si>
  <si>
    <t>Muhammad Shahril Bin Muhammad Kemal</t>
  </si>
  <si>
    <t>charon73@live.com</t>
  </si>
  <si>
    <t>Linked</t>
  </si>
  <si>
    <t>Chua Hong Guan</t>
  </si>
  <si>
    <t>cecilchua77@yahoo.com</t>
  </si>
  <si>
    <t>www.linkedin.com/in/justin-chua-60b9541b2</t>
  </si>
  <si>
    <t>Vidal Jeffrey Gloria</t>
  </si>
  <si>
    <t>jeffrey_vidal@yahoo.com.sg</t>
  </si>
  <si>
    <t>https://www.linkedin.com/in/jeffrey-vidal-1059631a1</t>
  </si>
  <si>
    <t>0pen</t>
  </si>
  <si>
    <t>good spoken</t>
  </si>
  <si>
    <t>Loo Lit Tein Jerald</t>
  </si>
  <si>
    <t>loolt@singnet.com.sg</t>
  </si>
  <si>
    <t>https://linkedin.com/in/jeraldloo</t>
  </si>
  <si>
    <t>2.8K</t>
  </si>
  <si>
    <t>3K</t>
  </si>
  <si>
    <t>Relevent experiences</t>
  </si>
  <si>
    <t>Ong Cheng Wah</t>
  </si>
  <si>
    <t>RoyOngCW@gmail.com</t>
  </si>
  <si>
    <t>https://www.linkedin.com/in/cheng-wah-ong-a615651ba/</t>
  </si>
  <si>
    <t>can explore</t>
  </si>
  <si>
    <t>Tan Peng Hua</t>
  </si>
  <si>
    <t>phtan68@yahoo.com</t>
  </si>
  <si>
    <t>Resume</t>
  </si>
  <si>
    <t>Pek Su Heng</t>
  </si>
  <si>
    <t>peksh78@gmail.com</t>
  </si>
  <si>
    <t>https://www.linkedin.com/in/jamespek/</t>
  </si>
  <si>
    <t>3.4K</t>
  </si>
  <si>
    <t>Updates on IT System in the library</t>
  </si>
  <si>
    <t>Azmybin Manap</t>
  </si>
  <si>
    <t>azmy.manap@gmail.com</t>
  </si>
  <si>
    <t>https://www.linkedin.com/in/azmy-manap-b387baa6?lipi=urn%3Ali%3Apage%3Ad_flagship3_profile_view_base_contact_details%3BObuwduc2ToCCi%2ByO9YiaZQ%3D%3D</t>
  </si>
  <si>
    <t>more for desktop</t>
  </si>
  <si>
    <t>Ong Soon Teck</t>
  </si>
  <si>
    <t>michaelong78@hotmail.com</t>
  </si>
  <si>
    <t>https://www.linkedin.com/in/michaelong78/</t>
  </si>
  <si>
    <t>Teo Hoon Jin, Andy</t>
  </si>
  <si>
    <t>frisbee80@yahoo.com.sg</t>
  </si>
  <si>
    <t>www.linkedin.com/in/andy-teo-5098b652</t>
  </si>
  <si>
    <t>8K</t>
  </si>
  <si>
    <t xml:space="preserve">Open to disussion </t>
  </si>
  <si>
    <t>Some basic IT knowledge, if shortlisted for the role will quickly enrol for courses and build up his foundation for IT</t>
  </si>
  <si>
    <t>Ong Cheng Guan Alfred</t>
  </si>
  <si>
    <t>alfred.ongcg@gmail.com</t>
  </si>
  <si>
    <t>https://www.linkedin.com/in/alfred-ong-1690964b/</t>
  </si>
  <si>
    <t>4.5K</t>
  </si>
  <si>
    <t xml:space="preserve">In 2017 - Financial and donation mangement system. IN duke uniersity also work with IT dept. SingHealth issues cyber attack he was also involved </t>
  </si>
  <si>
    <t>Leng Siew Kuan</t>
  </si>
  <si>
    <t>alanleng2205@gmail.com</t>
  </si>
  <si>
    <t>www.linkedin.com/in/alan-leng-zx8117</t>
  </si>
  <si>
    <t>Lakshmanan Gayathri</t>
  </si>
  <si>
    <t>gthri_2k@yahoo.com</t>
  </si>
  <si>
    <t>https://www.linkedin.com/in/gayathri-lakshmanan-2aab127</t>
  </si>
  <si>
    <t>2.5K</t>
  </si>
  <si>
    <t>Converted Singaporean from India</t>
  </si>
  <si>
    <t>Periakaruppan Ramasamy</t>
  </si>
  <si>
    <t>ramu_samy29@yahoo.com</t>
  </si>
  <si>
    <t>https://www.linkedin.com/in/ramasamy-periakaruppan-793a171b1</t>
  </si>
  <si>
    <t>1 weeks</t>
  </si>
  <si>
    <t>spoken could be better</t>
  </si>
  <si>
    <t>from dev ops to systems interview</t>
  </si>
  <si>
    <t>went for systems interview too</t>
  </si>
  <si>
    <t>https://www.mycareersfuture.gov.sg/job/information-technology/associate-network-consultant-ncs-1513dd252d4496814e2279917b6446c5</t>
  </si>
  <si>
    <t>$2,800 - $5,500</t>
  </si>
  <si>
    <t>Tam Peng Kong</t>
  </si>
  <si>
    <t>pktam71@gmail.com</t>
  </si>
  <si>
    <t>https://www.linkedin.com/in/tam-peng-kong-kenny-8790b876/</t>
  </si>
  <si>
    <t>Litonjua Melinda Quiambao</t>
  </si>
  <si>
    <t>mylyn82@gmail.com</t>
  </si>
  <si>
    <t>https://www.linkedin.com/in/mylyn-litonjua-545b0012a/</t>
  </si>
  <si>
    <t>5.2K</t>
  </si>
  <si>
    <t>4.5 to 5.2K</t>
  </si>
  <si>
    <t>Converted Singaporean since 2008 from Philippines</t>
  </si>
  <si>
    <t>Sefi</t>
  </si>
  <si>
    <t>sefi_lim@hotmail.com</t>
  </si>
  <si>
    <t>https://www.linkedin.com/in/sefi-lim-6073642b/</t>
  </si>
  <si>
    <t>On Geok Leng</t>
  </si>
  <si>
    <t>on92994359@gmail.com</t>
  </si>
  <si>
    <t>http://linkedin.com/in/geok-leng-on</t>
  </si>
  <si>
    <t xml:space="preserve">Jaclyn </t>
  </si>
  <si>
    <t xml:space="preserve">3.8K + 200 transport </t>
  </si>
  <si>
    <t>3 to 3.5K</t>
  </si>
  <si>
    <t>He only has an IT Degree and very basic IT knowledge.</t>
  </si>
  <si>
    <t>Sufri Burhan</t>
  </si>
  <si>
    <t>sufri_wu@yahoo.com</t>
  </si>
  <si>
    <t>https://sg.linkedin.com/in/sufri-burhan-14a4641b0</t>
  </si>
  <si>
    <t>more than $10K</t>
  </si>
  <si>
    <t>$5500 negotiable</t>
  </si>
  <si>
    <t xml:space="preserve">Singaporean born in Indonesia. Currently taking IT courses in - Network, Cyber Security, UX, Programming etc </t>
  </si>
  <si>
    <t>Chua Siong Chia</t>
  </si>
  <si>
    <t>dedukun.chua@gmail.com</t>
  </si>
  <si>
    <t>https://www.linkedin.com/in/siong-chia-chua-a009953b/</t>
  </si>
  <si>
    <t>$7000 base + profit sharing</t>
  </si>
  <si>
    <t>$5000 base</t>
  </si>
  <si>
    <t>Sales experience, no basic IT knowledge and not taking any IT courses.</t>
  </si>
  <si>
    <t>Cheong Tuck Khuen</t>
  </si>
  <si>
    <t>meyerm3d100@gmail.com</t>
  </si>
  <si>
    <t>https://www.linkedin.com/in/jimmy-cheong-a7742641</t>
  </si>
  <si>
    <t>$4000 base + commission + allowances</t>
  </si>
  <si>
    <t>$4000 base</t>
  </si>
  <si>
    <t>Singaporean born in Malaysia. Highest qualifications O Levels but doesn't mind taking a lower salary ($2K). Has basic network knowledge and experience setting up network switches at ETG. Currently pursuing a 2-month course, certificate in basic infrastructure design at Crestron Technical Institute.</t>
  </si>
  <si>
    <t>Nethanial Tan Kee San</t>
  </si>
  <si>
    <t>nethanialtan@gmail.com</t>
  </si>
  <si>
    <t>linkedin.com/in/nethanial-tan-3558821ba</t>
  </si>
  <si>
    <t>working on freelance basis. Will get a cut of the commission if he brings in a project.</t>
  </si>
  <si>
    <t>No IT/network experience. IT course that he has taken is in full stack development.</t>
  </si>
  <si>
    <t>Sudirman Sawi</t>
  </si>
  <si>
    <t>sudir.audio.visual@gmail.com</t>
  </si>
  <si>
    <t>QSP104808337</t>
  </si>
  <si>
    <t>$2730 base + VB</t>
  </si>
  <si>
    <t xml:space="preserve">$2500 - $3500 </t>
  </si>
  <si>
    <t>Highest qualification - Nitec. Poor communication skills, no IT certs and hasn't done any IT related work.</t>
  </si>
  <si>
    <t>Teo Chia Hsien</t>
  </si>
  <si>
    <t>teochiahsien@hotmail.com</t>
  </si>
  <si>
    <t>https://www.linkedin.com/in/teo-chia-hsien-441a2275</t>
  </si>
  <si>
    <t>3.2K + $800 alloance (transport + mobile )</t>
  </si>
  <si>
    <t>3.2K</t>
  </si>
  <si>
    <t>Basic IT network knowledge 
currently taking up CCNNA, going for his exam on 12 Dec</t>
  </si>
  <si>
    <t>Heng Mui Huat</t>
  </si>
  <si>
    <t>fraheng@gmail.com</t>
  </si>
  <si>
    <t>Daren Foo Yoke Loong</t>
  </si>
  <si>
    <t>daren.foo@gmail.com</t>
  </si>
  <si>
    <t>Rasidah Binte Ab Rahim</t>
  </si>
  <si>
    <t>rasidah.abr@gmail.com</t>
  </si>
  <si>
    <t>https://drive.google.com/file/d/1bVOGT21WixAkSdVf5DmbMbV9n7YuezVr/view?usp=drivesdk</t>
  </si>
  <si>
    <t>attended but not interviewed</t>
  </si>
  <si>
    <t>Alvin Lim Beng Huat</t>
  </si>
  <si>
    <t>76mingfa@gmail.com</t>
  </si>
  <si>
    <t>https://drive.google.com/file/d/19YdgG2GI-uEKRJGDWRQXv5uXJKCqaJzm/view?usp=drivesdk</t>
  </si>
  <si>
    <t>5K</t>
  </si>
  <si>
    <t>2.8 to 3K</t>
  </si>
  <si>
    <t>Last 2 years, web consultation business and his area of focus is on collabration, social digital mktg SCO, google adword.  Freelance contract basis IT support on Customer sever, email and web hosting, network file sever, sharing configuration.
Self taught and online course</t>
  </si>
  <si>
    <t>Lee Yong Kang</t>
  </si>
  <si>
    <t>yongkanglee00@gmail.com</t>
  </si>
  <si>
    <t>www.linkedin.com/in/lee-yong-kang-39226078</t>
  </si>
  <si>
    <t>Relevant IT experience but need to build up foundation as he does not have an IT qualification. He is hesistant due to family commitment on the working beyond office hours and be on standy weekends/PH.</t>
  </si>
  <si>
    <t>Ng Seng Keong</t>
  </si>
  <si>
    <t>alexngsk7@gmail.com</t>
  </si>
  <si>
    <t>https://drive.google.com/file/d/1tRJ-CrsAPb1DNHQRW_8Qd1O1BZJw0Zrg/view?usp=sharing</t>
  </si>
  <si>
    <t>$2,800 to $5,500</t>
  </si>
  <si>
    <t>Sales experience, no IT related work experience. Took a cert in AI but not in Network. Applied for 3 positions advertised on WSG and doesn't know why he was shortlisted for an interview for this role instead. Can't sense his passion in a Network role.</t>
  </si>
  <si>
    <t>Terence Yeo</t>
  </si>
  <si>
    <t>thimberwolf101@gmail.com</t>
  </si>
  <si>
    <t>https://www.linkedin.com/in/terence-yeo-92aa3770/</t>
  </si>
  <si>
    <t>11.5K</t>
  </si>
  <si>
    <t>4 to 5K</t>
  </si>
  <si>
    <t>Unable to articulate his IT experiences which claims to have and unable to answer my questions straight to the point
- IT Category management for Procurement.
- Ex company, Level 1 &amp;2 IT user suport.</t>
  </si>
  <si>
    <t>Sundaram Narayanan</t>
  </si>
  <si>
    <t>naras.sun@gmail.com</t>
  </si>
  <si>
    <t>www.linkedin.com/in/sundaram-narayanan-5aa7b618</t>
  </si>
  <si>
    <t>Pyramid Consulting - $4000</t>
  </si>
  <si>
    <t>above $3K</t>
  </si>
  <si>
    <t>Singapore PR from India. Has a Bachelor in IT, took IT courses on LinkedIn. IT technical experience gained in India.</t>
  </si>
  <si>
    <t>Alvin Wong</t>
  </si>
  <si>
    <t>alvinwong.hjh@gmail.com</t>
  </si>
  <si>
    <t>My resume and relevant docs. are in Singtel Careers Group database, I have applied for 2 roles since 03 Oct 2020, but have not receive any reply yet.</t>
  </si>
  <si>
    <t>Chua Look Keong</t>
  </si>
  <si>
    <t>raffleschua@gmail.com</t>
  </si>
  <si>
    <t>https://www.linkedin.com/in/raffleschua</t>
  </si>
  <si>
    <t>$3500 base</t>
  </si>
  <si>
    <t>$3000 - $3500</t>
  </si>
  <si>
    <t>Highest qualifications - N Level. No IT certificates.</t>
  </si>
  <si>
    <t>Abdul Razak Bin Maidu</t>
  </si>
  <si>
    <t>razakmaidu@outlook.com</t>
  </si>
  <si>
    <t>Razak Maidu</t>
  </si>
  <si>
    <t>Seah Li Ling</t>
  </si>
  <si>
    <t>windersea@gmail.com</t>
  </si>
  <si>
    <t>https://www.dropbox.com/s/lnub2hqrgvtxly2/Resume%20%28Jerlene%20Seah%29.pdf?dl=0</t>
  </si>
  <si>
    <t>$3600 base + AWS + VB</t>
  </si>
  <si>
    <t>$3800 to $4500</t>
  </si>
  <si>
    <t xml:space="preserve">Has done IT related tasks at work in Imagination Kids - set up website, taught IT literacy classes and basic coding for children. Has a Certificate in Networking Fundamentals and a post graduate diploma in systems analysis. </t>
  </si>
  <si>
    <t>Jacqueline Fernandez D/O Stanley Fernandez</t>
  </si>
  <si>
    <t>jacque0168@gmail.com</t>
  </si>
  <si>
    <t>https://www.linkedin.com/in/jacqueline-fernandez-3a049a155/</t>
  </si>
  <si>
    <t>5.5K</t>
  </si>
  <si>
    <t>Converted Singapore from Malaysia
IT support role for her current job, new implemention of systems and requirement.  Needs to understand the confituration</t>
  </si>
  <si>
    <t>Ang Kin Song</t>
  </si>
  <si>
    <t>Marcus5689@hotmail.com</t>
  </si>
  <si>
    <t>https://www.linkedin.com/in/marcusang</t>
  </si>
  <si>
    <t>Proessional test engineer with Machines, Elelctrical product manger and trainer</t>
  </si>
  <si>
    <t>Koh Lay Sien Linette</t>
  </si>
  <si>
    <t>laysienkoh001@gmail.com</t>
  </si>
  <si>
    <t>https://www.linkedin.com/in/linette-koh-8a95b39/</t>
  </si>
  <si>
    <t>Singapore Digital Chamber of Commerce - $3800</t>
  </si>
  <si>
    <t xml:space="preserve">Spent 1 year with HP as a Alliance Partner where she gained IT knowledge on switches, routers, LAN from Solution Architects whom she worked closely with. </t>
  </si>
  <si>
    <r>
      <t xml:space="preserve">Do you have at least 2 years of domain experience in either FSI,  Education, Healthcare, Public Sector? </t>
    </r>
    <r>
      <rPr>
        <sz val="11"/>
        <color theme="1"/>
        <rFont val="Calibri"/>
        <family val="2"/>
        <scheme val="minor"/>
      </rPr>
      <t>Answer: Yes</t>
    </r>
  </si>
  <si>
    <t>https://www.mycareersfuture.gov.sg/job/information-technology/associate-business-analyst-ncs-aa61dbe1e505e080b7a17e955d3427d2</t>
  </si>
  <si>
    <t>$4,000 - $5,000</t>
  </si>
  <si>
    <t>Parihar Nileshkumar Chaganlal</t>
  </si>
  <si>
    <t>nileshparihar@gmail.com</t>
  </si>
  <si>
    <t>https://www.linkedin.com/in/nilesh-parihar-b746ba178</t>
  </si>
  <si>
    <t>Shruti Shashikant Kadam</t>
  </si>
  <si>
    <t>shruti_kadam@ymail.com</t>
  </si>
  <si>
    <t>https://www.linkedin.com/in/kadamshruti/</t>
  </si>
  <si>
    <t xml:space="preserve">6500 / month </t>
  </si>
  <si>
    <t xml:space="preserve">ok for a bit lower </t>
  </si>
  <si>
    <t>Jeanne Soo Sze Ming</t>
  </si>
  <si>
    <t>atouslejours@gmail.com</t>
  </si>
  <si>
    <t>https://www.linkedin.com/in/jeanne-soo-91b0546/</t>
  </si>
  <si>
    <t>$0
Left job in 2014 due to difficulties at home
Went back to work after 3 years in F&amp;B from 2017 up till 2019 (finance, logistics, sales)  start up on PT basis. Didn’t receive salary although she was supposed to after an agreed amount of time</t>
  </si>
  <si>
    <t>Open to $4K</t>
  </si>
  <si>
    <r>
      <rPr>
        <sz val="11"/>
        <color rgb="FFFF0000"/>
        <rFont val="Calibri"/>
        <family val="2"/>
        <scheme val="minor"/>
      </rPr>
      <t>Potential for SE (Keely)</t>
    </r>
    <r>
      <rPr>
        <sz val="11"/>
        <rFont val="Calibri"/>
        <family val="2"/>
        <scheme val="minor"/>
      </rPr>
      <t xml:space="preserve">
Generally no preference btw ABA/SE (took up courses in programming)
Speaks very well
She wants to learn new things
Treasury and finance
Risk management
Finanicial reporting and risks
Interest in programming
Coding in excel - generate reports
Ok with role steep learning curve
can deal with ppl, can deal with technical side
No govt grants
Yes meet TeSA requirements
</t>
    </r>
    <r>
      <rPr>
        <sz val="11"/>
        <color rgb="FFFF0000"/>
        <rFont val="Calibri"/>
        <family val="2"/>
        <scheme val="minor"/>
      </rPr>
      <t>Pls check on CBR and credit ratings in case. I didnt manage to ask</t>
    </r>
  </si>
  <si>
    <t>Lim See Yin</t>
  </si>
  <si>
    <t>siyunchristine@gmail.com</t>
  </si>
  <si>
    <t>Applied selected post@mycareersfuture Lim See Yin Christine resume_IT_Digital</t>
  </si>
  <si>
    <t>Ter Tze Meng</t>
  </si>
  <si>
    <t>tertm141@gmail.com</t>
  </si>
  <si>
    <t>https://www.linkedin.com/in/tertm/</t>
  </si>
  <si>
    <t xml:space="preserve">IBM - $7374 basic + (no  comms) + AWS + no VB
</t>
  </si>
  <si>
    <t>ES: $6000 - $6500 ($4K still ok)</t>
  </si>
  <si>
    <r>
      <t xml:space="preserve">Has only been in IBM
Was an engineer, moved on to do sales (maintenance services, hardware and software)
After sales, did design work
Extract sales report, monthly reporting on performance, analyzing
IBM reorg - retrenchment
</t>
    </r>
    <r>
      <rPr>
        <sz val="11"/>
        <color rgb="FFFF0000"/>
        <rFont val="Calibri"/>
        <family val="2"/>
        <scheme val="minor"/>
      </rPr>
      <t xml:space="preserve">
Not keen in SE
</t>
    </r>
    <r>
      <rPr>
        <sz val="11"/>
        <rFont val="Calibri"/>
        <family val="2"/>
        <scheme val="minor"/>
      </rPr>
      <t>ABA
3 months ago - google switch
Tableu
no govt grants/subsidies
Went for 1 interview last week
Taking a course in Dec (Skillsfuture) - biz analytics course - mid dec onwards. If shortlised for ABA, he will need to drop out in advance
CBR: OK</t>
    </r>
  </si>
  <si>
    <t>Sim Wei Yang</t>
  </si>
  <si>
    <t>weiyang.sim@gmail.com</t>
  </si>
  <si>
    <t>https://www.linkedin.com/in/weiyangsim/</t>
  </si>
  <si>
    <t>$5000 basic + no AWS + $500 shift allowance + VB not very high</t>
  </si>
  <si>
    <t>Looking for stability
$4k ok</t>
  </si>
  <si>
    <t>Passed to Keely    News editor for thomson reutersmonitor for newsRetrenched in 2019Took a break to care for sonCurrently doing SG united - NTUC learning hub (Course signed up, just started last week)Currently unemployedif can proved if gainfully employed, can leave course immedMore technically inclinedLikes news alot, but mroe of techie personHas alot of in house software previously (was made the software expert - TR)Comunity and aprtnership specialist - supposed to give him a cert to be able to handle relationship using social media no other certs (tech) introduced scipts for automation previouslyComputer science in JC (Computer club in secondary school)Prefer ABA role, not keen in SEMeets TeSA requirementsWas a relief teacher beforeCBR: OK</t>
  </si>
  <si>
    <t>Serene Rae Tan</t>
  </si>
  <si>
    <t>srtan38@yahoo.com.sg</t>
  </si>
  <si>
    <t>www.linkedin.com/in/serene-r-tan-8b5b11117</t>
  </si>
  <si>
    <t>Quah Soh Bee</t>
  </si>
  <si>
    <t>quahsohbee@gmail.com</t>
  </si>
  <si>
    <t>Lai Kah Yik</t>
  </si>
  <si>
    <t>laikahyik@hotmail.com</t>
  </si>
  <si>
    <t>https://www.linkedin.com/in/laikahyik</t>
  </si>
  <si>
    <t>Dennis Yap</t>
  </si>
  <si>
    <t>denybl@yahoo.com.sg</t>
  </si>
  <si>
    <t>linkedin.com/in/dennis-yap</t>
  </si>
  <si>
    <t>$7K basic + No AWS + 2.5 -3 months</t>
  </si>
  <si>
    <t>$4K</t>
  </si>
  <si>
    <t>End Jan 21/Feb 21</t>
  </si>
  <si>
    <r>
      <t xml:space="preserve">Left job in May 2020 - Wife diagnosed with cancer
Took up SMU Diploma in medical tech and data Analytics - ends in end Jan 2021
</t>
    </r>
    <r>
      <rPr>
        <sz val="11"/>
        <color rgb="FFFF0000"/>
        <rFont val="Calibri"/>
        <family val="2"/>
        <scheme val="minor"/>
      </rPr>
      <t>Govt grants (For Masters previously) - might want to clarify</t>
    </r>
    <r>
      <rPr>
        <sz val="11"/>
        <rFont val="Calibri"/>
        <family val="2"/>
        <scheme val="minor"/>
      </rPr>
      <t xml:space="preserve">
Skillsfuture award - beyond $500 skillsfuture. Had $5K (2013) by IE sg and SUSS (internationalization course)
Meets TeSA requirements
CBR: Ok
</t>
    </r>
  </si>
  <si>
    <t>Lim Hwee Yeow Dennis</t>
  </si>
  <si>
    <t>dennis_lim@ymail.com</t>
  </si>
  <si>
    <t>https://www.linkedin.com/in/dennis-lim-hy</t>
  </si>
  <si>
    <t>Lawrence Lim Eng Sing</t>
  </si>
  <si>
    <t>lawrencelimrs@gmail.com</t>
  </si>
  <si>
    <t>https://www.linkedin.com/in/lawrence-lim-l-i-o-n-705761151</t>
  </si>
  <si>
    <t>Andrew Chan</t>
  </si>
  <si>
    <t>chan5956@yahoo.com.sg</t>
  </si>
  <si>
    <t>https://www.linkedin.com/in/andrew-chan-certified-scrum-product-owner®-treasury</t>
  </si>
  <si>
    <t xml:space="preserve">$8000 basic + AWS (no VB)
</t>
  </si>
  <si>
    <t>$4K ok</t>
  </si>
  <si>
    <r>
      <t xml:space="preserve">Shortlist for TeSA ABA
Gvt grants: only utilised Skillsfuture so far
ABA - first priority 
SE - open to consider
Had experience in Education sector
Had experience in private sector (quasi govt)
Keen in ABA role as he was with the financial sector previously, may be able to value add as an analyst
SGR, abov 40 years
</t>
    </r>
    <r>
      <rPr>
        <sz val="11"/>
        <color rgb="FFFF0000"/>
        <rFont val="Calibri"/>
        <family val="2"/>
        <scheme val="minor"/>
      </rPr>
      <t>CBR and Credit Rating: pls check</t>
    </r>
  </si>
  <si>
    <t>Seah Li Ling Jerlene</t>
  </si>
  <si>
    <t>https://www.dropbox.com/s/2wxrv9olqaiiae3/Resume%20%28Jerlene%20Seah%29.pdf?dl=0</t>
  </si>
  <si>
    <t>1 month, contract ending</t>
  </si>
  <si>
    <t>Chin Soo Fatt</t>
  </si>
  <si>
    <t>csoofatt@gmail.com</t>
  </si>
  <si>
    <t>linkedin.com/in/s00fatt</t>
  </si>
  <si>
    <t>Santosh Sekharan Nair</t>
  </si>
  <si>
    <t>nasturtus@gmail.com</t>
  </si>
  <si>
    <t>https://www.linkedin.com/in/santosh-s-71b768142/</t>
  </si>
  <si>
    <t>per hour based $150 / hr, project based</t>
  </si>
  <si>
    <t>$4K range ok
$4.5K espectation</t>
  </si>
  <si>
    <t>**Currently in India since Dec 2019 to care for ailing mother and lockdowns happened. Trying to get back to SG on the next earliest flight back (unsure when)past 2 years - start up and in block chainCurrently in IndiaSQL, excel, tableuBootworks - full stack javascript, IMDA (Thoughtworks - 2018) - pls check if able to considerPreference in ABA, but open to software engineerTechnical writer - FSI (product natural language processign)EducationIT services - emerio (MOE client)Meets TeSA RequirementsCBR: OK</t>
  </si>
  <si>
    <t>Parul Rinwa</t>
  </si>
  <si>
    <t>parul.rinwa@gmail.com</t>
  </si>
  <si>
    <t>https://www.linkedin.com/feed/</t>
  </si>
  <si>
    <t>Fandy Sastrawijaya</t>
  </si>
  <si>
    <t>f_sastrawijaya@hotmail.com</t>
  </si>
  <si>
    <t>https://www.linkedin.com/in/fandy-sastrawijaya-liang-590ba851/</t>
  </si>
  <si>
    <t xml:space="preserve">$5K basic + no bonuses (Project based)
</t>
  </si>
  <si>
    <t>More suitable for ABA
Not shortlisting for SE
Accountant
constructurion, property insutrry
Interested in IT - commerce degree (hadnt had the chance to apply)
2018 - had to go for surgery (ok alr), was looking for a job then, hadnt had a chance to get one. Took the time to take up SAP finance
Read thru - database
ok meet the requirements
no issues on finances
Prefer the ABA</t>
  </si>
  <si>
    <t>Michael Sim</t>
  </si>
  <si>
    <t>nickshen@hotmail.com</t>
  </si>
  <si>
    <t>www.lindkedln/michael-sims</t>
  </si>
  <si>
    <t>Siu-Yin Leo</t>
  </si>
  <si>
    <t>syleo22@gmail.com</t>
  </si>
  <si>
    <t>https://www.linkedin.com/in/syleo/</t>
  </si>
  <si>
    <t>Tan Chee Keoong, Joe</t>
  </si>
  <si>
    <t>joetan3393@gmail.com</t>
  </si>
  <si>
    <t>https://www.linkedin.com/in/joetanck/</t>
  </si>
  <si>
    <t xml:space="preserve">Last drawn: $15k/ months + AWS + 2 months
</t>
  </si>
  <si>
    <r>
      <t xml:space="preserve">Shortlist for TeSA ABA
NCS - ICT growing industry in SG and familiar
Previously retrenched in Arrow. Took up courses like data analytics and coursera to upgrade
Didnt not take up courses with govt grants ( SMU - mid career skill traineeship - used skillsfuture)
Biz analyst first priority
SE - ok to consider
did not have to pick up on programming but need to evaluate solutions on vendors, scripting of test scenarios
</t>
    </r>
    <r>
      <rPr>
        <sz val="11"/>
        <color rgb="FFFF0000"/>
        <rFont val="Calibri"/>
        <family val="2"/>
        <scheme val="minor"/>
      </rPr>
      <t>Pls check on CBR</t>
    </r>
    <r>
      <rPr>
        <sz val="11"/>
        <rFont val="Calibri"/>
        <family val="2"/>
        <scheme val="minor"/>
      </rPr>
      <t xml:space="preserve">
Yes meet TeSA requirements</t>
    </r>
  </si>
  <si>
    <t>Shukla Jayati Jagdishchandra</t>
  </si>
  <si>
    <t>jayatishukla@hotmail.com</t>
  </si>
  <si>
    <t>$7000 basic + AWS + 0.5 month</t>
  </si>
  <si>
    <t>$4k Ok</t>
  </si>
  <si>
    <t>Passed to Keely   15 years experience in engineering fieldCompany going through retrenchmentGood to go into tech due to digitalizationCourses - more engineering related no govt subsidiesYes meet TeSA requirementsHas experience in sch for .net/java, not in working experienceMay be open to SECBR: OK</t>
  </si>
  <si>
    <t>Harvinderjit Singh</t>
  </si>
  <si>
    <t>HARVINDERJIT.SINGH@GMAIL.COM</t>
  </si>
  <si>
    <t>www.linkedin.com/in/harvinderjit-singh</t>
  </si>
  <si>
    <t>on debt repayment for another 5 yrs</t>
  </si>
  <si>
    <t>Mohamed Ismail Bin Abu Bakar</t>
  </si>
  <si>
    <t>mdismailab@gmail.com</t>
  </si>
  <si>
    <t>Paradigmcoach.com</t>
  </si>
  <si>
    <t>Chua Shau Chat</t>
  </si>
  <si>
    <t>Kayakboi12@hotmail.com</t>
  </si>
  <si>
    <t>https://www.linkedin.com/in/justinchuasc/</t>
  </si>
  <si>
    <t>Tan Chai Kwang</t>
  </si>
  <si>
    <t>cktan346@gmail.com</t>
  </si>
  <si>
    <t>https://www.linkedin.com/in/tanchaikwang</t>
  </si>
  <si>
    <t>nil</t>
  </si>
  <si>
    <t>Chian Kuan Yew</t>
  </si>
  <si>
    <t>ckyinlaos@yahoo.com</t>
  </si>
  <si>
    <t>Linkedin.com/in/ky-chian-5360107a</t>
  </si>
  <si>
    <t>Ling Yuan Khong</t>
  </si>
  <si>
    <t>andyling7679@gmail.com</t>
  </si>
  <si>
    <t>https://www.linkedin.com/in/andy-ling-032924108</t>
  </si>
  <si>
    <t>Juffri Bin Abdullah</t>
  </si>
  <si>
    <t>juffri.a@gmail.com</t>
  </si>
  <si>
    <t>https://www.linkedin.com/public-profile/settings?trk=d_flagship3_profile_self_view_public_profile&amp;lipi=urn%3Ali%3Apage%3Ad_flagship3_profile_view_base%3BmZJKe2xqSvmV5vNcBkLQwQ%3D%3D</t>
  </si>
  <si>
    <t>Mcorp - $6K basic + director fees (~$2K)</t>
  </si>
  <si>
    <r>
      <t xml:space="preserve">Payment default in Mcorp
Had arbitration case
</t>
    </r>
    <r>
      <rPr>
        <sz val="11"/>
        <color rgb="FFFF0000"/>
        <rFont val="Calibri"/>
        <family val="2"/>
        <scheme val="minor"/>
      </rPr>
      <t>**he mentioned he had no issues on the finance front currently when i brough up credit bureau and credit rating checks. Suggest to get more details from him first if need be before proceeding</t>
    </r>
    <r>
      <rPr>
        <sz val="11"/>
        <rFont val="Calibri"/>
        <family val="2"/>
        <scheme val="minor"/>
      </rPr>
      <t xml:space="preserve">
Skillsfuture - data science course (lithan academy)
Digi strategist - self funded
No other govt grants/ subsidies
CBR: OK
Investment banking - DBS 
Healthcare experience - overseas</t>
    </r>
  </si>
  <si>
    <t>You Chun Wei</t>
  </si>
  <si>
    <t>melvin.you@gmail.com</t>
  </si>
  <si>
    <t>https://sg.linkedin.com/in/melvinyou</t>
  </si>
  <si>
    <t>Lina Moe Yung Wei</t>
  </si>
  <si>
    <t>lina.y.moe@gmail.com</t>
  </si>
  <si>
    <t xml:space="preserve">$6K depending
</t>
  </si>
  <si>
    <t>Open 
$3500 - $3k ok</t>
  </si>
  <si>
    <r>
      <rPr>
        <sz val="11"/>
        <color rgb="FFFF0000"/>
        <rFont val="Calibri"/>
        <family val="2"/>
        <scheme val="minor"/>
      </rPr>
      <t>Can potentially consider for SE</t>
    </r>
    <r>
      <rPr>
        <sz val="11"/>
        <rFont val="Calibri"/>
        <family val="2"/>
        <scheme val="minor"/>
      </rPr>
      <t xml:space="preserve">
Communication is so-so. Cant fully understand what shes trying to say at times but could still try
Currently  property agent for 8 years
Had been trying to go back into the IT indsutry
Not easy to get back into IT industry
Started as a programmer
Can handle biz analysis role, and transform into technical specifications, works with IT ppl on how to deliver. Had chance to do testing before
Open to either BA/Software engineer
CBR: Ok
Reference check - Trying to get references
Programmer - mainframe, handled retail banking, SQL
jAVA./ .NET - no hands on experience
VB.net course, MS .net course
Govt subsidies - .net platform (ms .net) studied c#,vb.net - cannot recall which govt body (Citrep) - more than 10 years ago. Needs to confirm
went for courses on Mobile applications (how to use)
lina.y.moe@gmail.com</t>
    </r>
  </si>
  <si>
    <t>Lim Yen San</t>
  </si>
  <si>
    <t>limyensan@yahoo.com</t>
  </si>
  <si>
    <t>https://www.linkedin.com/in/yen-san-lim-25b9552</t>
  </si>
  <si>
    <t>for TeSA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</si>
</sst>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Red]\-&quot;$&quot;#,##0"/>
    <numFmt numFmtId="165" formatCode="[$-14809]d\ mmm\ yyyy;@"/>
  </numFmts>
  <fonts count="27">
    <font>
      <sz val="11"/>
      <color theme="1"/>
      <name val="Calibri"/>
      <family val="2"/>
      <scheme val="minor"/>
    </font>
    <font>
      <b/>
      <sz val="10"/>
      <color rgb="FF000000"/>
      <name val="Arial"/>
      <family val="2"/>
    </font>
    <font>
      <sz val="10"/>
      <color rgb="FF000000"/>
      <name val="Arial"/>
      <family val="2"/>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Arial"/>
      <family val="2"/>
    </font>
    <font>
      <u/>
      <sz val="10"/>
      <color theme="4"/>
      <name val="Arial"/>
      <family val="2"/>
    </font>
    <font>
      <sz val="10"/>
      <name val="Calibri"/>
      <family val="2"/>
      <scheme val="minor"/>
    </font>
    <font>
      <sz val="11"/>
      <color rgb="FFFF0000"/>
      <name val="Calibri"/>
      <family val="2"/>
      <scheme val="minor"/>
    </font>
    <font>
      <sz val="11"/>
      <name val="Calibri"/>
      <scheme val="minor"/>
    </font>
    <font>
      <b/>
      <sz val="11"/>
      <name val="Calibri"/>
      <scheme val="minor"/>
    </font>
    <font>
      <b/>
      <sz val="10"/>
      <color theme="1"/>
      <name val="Arial"/>
      <family val="2"/>
    </font>
    <font>
      <sz val="10"/>
      <color theme="1"/>
      <name val="Arial"/>
    </font>
    <font>
      <sz val="10"/>
      <color rgb="FFED7D31"/>
      <name val="Arial"/>
      <family val="2"/>
    </font>
    <font>
      <b/>
      <sz val="10"/>
      <color rgb="FFED7D31"/>
      <name val="Arial"/>
      <family val="2"/>
    </font>
    <font>
      <b/>
      <sz val="10"/>
      <color rgb="FFFF0000"/>
      <name val="Arial"/>
      <family val="2"/>
    </font>
    <font>
      <b/>
      <sz val="10"/>
      <color rgb="FFFF0000"/>
      <name val="Arial"/>
    </font>
    <font>
      <b/>
      <sz val="10"/>
      <color theme="1"/>
      <name val="Arial"/>
    </font>
    <font>
      <b/>
      <sz val="10"/>
      <color rgb="FF000000"/>
      <name val="Arial"/>
    </font>
    <font>
      <sz val="11"/>
      <color rgb="FF000000"/>
      <name val="Calibri"/>
      <family val="2"/>
      <scheme val="minor"/>
    </font>
    <font>
      <sz val="11"/>
      <color rgb="FFFF0000"/>
      <name val="Calibri"/>
      <scheme val="minor"/>
    </font>
    <font>
      <sz val="10"/>
      <name val="Arial"/>
      <family val="2"/>
    </font>
    <font>
      <b/>
      <sz val="10"/>
      <name val="Arial"/>
      <family val="2"/>
    </font>
    <font>
      <sz val="11"/>
      <color rgb="FF000000"/>
      <name val="Calibri"/>
      <scheme val="minor"/>
    </font>
    <font>
      <u/>
      <sz val="11"/>
      <color rgb="FF000000"/>
      <name val="Calibri"/>
      <family val="2"/>
      <scheme val="minor"/>
    </font>
  </fonts>
  <fills count="25">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6"/>
        <bgColor indexed="64"/>
      </patternFill>
    </fill>
    <fill>
      <patternFill patternType="solid">
        <fgColor rgb="FFFFFF00"/>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rgb="FFB4C6E7"/>
        <bgColor indexed="64"/>
      </patternFill>
    </fill>
    <fill>
      <patternFill patternType="solid">
        <fgColor rgb="FFFFF2CC"/>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rgb="FFF4B084"/>
        <bgColor indexed="64"/>
      </patternFill>
    </fill>
    <fill>
      <patternFill patternType="solid">
        <fgColor rgb="FFC6E0B4"/>
        <bgColor indexed="64"/>
      </patternFill>
    </fill>
    <fill>
      <patternFill patternType="solid">
        <fgColor rgb="FFDBDBDB"/>
        <bgColor indexed="64"/>
      </patternFill>
    </fill>
    <fill>
      <patternFill patternType="solid">
        <fgColor rgb="FFAEAAAA"/>
        <bgColor indexed="64"/>
      </patternFill>
    </fill>
    <fill>
      <patternFill patternType="solid">
        <fgColor rgb="FFE2EFDA"/>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rgb="FFFCE4D6"/>
        <bgColor rgb="FF000000"/>
      </patternFill>
    </fill>
    <fill>
      <patternFill patternType="solid">
        <fgColor rgb="FFA9D08E"/>
        <bgColor indexed="64"/>
      </patternFill>
    </fill>
    <fill>
      <patternFill patternType="solid">
        <fgColor rgb="FFF8CBAD"/>
        <bgColor indexed="64"/>
      </patternFill>
    </fill>
    <fill>
      <patternFill patternType="solid">
        <fgColor rgb="FFFCE4D6"/>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rgb="FF000000"/>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style="medium">
        <color rgb="FF000000"/>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medium">
        <color rgb="FF000000"/>
      </right>
      <top/>
      <bottom style="medium">
        <color rgb="FF000000"/>
      </bottom>
      <diagonal/>
    </border>
    <border>
      <left style="medium">
        <color rgb="FF000000"/>
      </left>
      <right style="medium">
        <color rgb="FF000000"/>
      </right>
      <top style="medium">
        <color indexed="64"/>
      </top>
      <bottom style="thin">
        <color rgb="FF000000"/>
      </bottom>
      <diagonal/>
    </border>
    <border>
      <left/>
      <right style="medium">
        <color rgb="FF000000"/>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style="thin">
        <color rgb="FF000000"/>
      </bottom>
      <diagonal/>
    </border>
    <border>
      <left style="medium">
        <color rgb="FF000000"/>
      </left>
      <right style="medium">
        <color rgb="FF000000"/>
      </right>
      <top style="thin">
        <color rgb="FF000000"/>
      </top>
      <bottom style="medium">
        <color indexed="64"/>
      </bottom>
      <diagonal/>
    </border>
    <border>
      <left/>
      <right style="medium">
        <color rgb="FF000000"/>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245">
    <xf numFmtId="0" fontId="0" fillId="0" borderId="0" xfId="0"/>
    <xf numFmtId="0" fontId="5" fillId="2" borderId="4" xfId="0" applyFont="1" applyFill="1" applyBorder="1" applyAlignment="1" applyProtection="1">
      <alignment horizontal="center" vertical="center" wrapText="1"/>
      <protection locked="0"/>
    </xf>
    <xf numFmtId="0" fontId="6" fillId="0" borderId="1" xfId="0" applyFont="1" applyBorder="1" applyAlignment="1" applyProtection="1">
      <alignment vertical="center"/>
      <protection locked="0"/>
    </xf>
    <xf numFmtId="0" fontId="0" fillId="0" borderId="0" xfId="0" applyAlignment="1" applyProtection="1">
      <alignment vertical="center"/>
      <protection locked="0"/>
    </xf>
    <xf numFmtId="0" fontId="5" fillId="5" borderId="4" xfId="0" applyFont="1" applyFill="1" applyBorder="1" applyAlignment="1" applyProtection="1">
      <alignment horizontal="center" vertical="center" wrapText="1"/>
      <protection locked="0"/>
    </xf>
    <xf numFmtId="0" fontId="5" fillId="5" borderId="8" xfId="0" applyFont="1" applyFill="1" applyBorder="1" applyAlignment="1" applyProtection="1">
      <alignment horizontal="center" vertical="center" wrapText="1"/>
      <protection locked="0"/>
    </xf>
    <xf numFmtId="0" fontId="3" fillId="7" borderId="1" xfId="0" applyFont="1" applyFill="1" applyBorder="1" applyAlignment="1" applyProtection="1">
      <alignment horizontal="center" vertical="center"/>
      <protection locked="0"/>
    </xf>
    <xf numFmtId="0" fontId="6" fillId="0" borderId="6" xfId="0" applyFont="1" applyBorder="1" applyAlignment="1" applyProtection="1">
      <alignment vertical="center"/>
      <protection locked="0"/>
    </xf>
    <xf numFmtId="0" fontId="6" fillId="0" borderId="3" xfId="0" applyFont="1" applyBorder="1" applyAlignment="1" applyProtection="1">
      <alignment vertical="center"/>
      <protection locked="0"/>
    </xf>
    <xf numFmtId="0" fontId="6" fillId="0" borderId="10" xfId="0" applyFont="1" applyBorder="1" applyAlignment="1" applyProtection="1">
      <alignment vertical="center"/>
      <protection locked="0"/>
    </xf>
    <xf numFmtId="0" fontId="11" fillId="0" borderId="1" xfId="0" applyFont="1" applyBorder="1" applyAlignment="1" applyProtection="1">
      <alignment vertical="center"/>
      <protection locked="0"/>
    </xf>
    <xf numFmtId="0" fontId="10" fillId="0" borderId="3" xfId="0" applyFont="1" applyBorder="1" applyAlignment="1" applyProtection="1">
      <alignment vertical="center"/>
      <protection locked="0"/>
    </xf>
    <xf numFmtId="0" fontId="11" fillId="0" borderId="3" xfId="0" applyFont="1" applyBorder="1" applyAlignment="1" applyProtection="1">
      <alignment vertical="center"/>
      <protection locked="0"/>
    </xf>
    <xf numFmtId="0" fontId="7" fillId="0" borderId="0" xfId="0" applyFont="1" applyAlignment="1" applyProtection="1">
      <alignment vertical="center"/>
      <protection locked="0"/>
    </xf>
    <xf numFmtId="0" fontId="13" fillId="20" borderId="46" xfId="0" applyFont="1" applyFill="1" applyBorder="1" applyAlignment="1" applyProtection="1">
      <alignment horizontal="center" vertical="center"/>
      <protection locked="0"/>
    </xf>
    <xf numFmtId="0" fontId="7" fillId="0" borderId="47" xfId="0" applyFont="1" applyBorder="1" applyAlignment="1" applyProtection="1">
      <alignment vertical="center"/>
      <protection locked="0"/>
    </xf>
    <xf numFmtId="0" fontId="1" fillId="21" borderId="14" xfId="0" applyFont="1" applyFill="1" applyBorder="1" applyAlignment="1" applyProtection="1">
      <alignment horizontal="center" vertical="center"/>
      <protection locked="0"/>
    </xf>
    <xf numFmtId="0" fontId="1" fillId="21" borderId="15" xfId="0" applyFont="1" applyFill="1" applyBorder="1" applyAlignment="1" applyProtection="1">
      <alignment horizontal="center" vertical="center"/>
      <protection locked="0"/>
    </xf>
    <xf numFmtId="0" fontId="1" fillId="21" borderId="16" xfId="0" applyFont="1" applyFill="1" applyBorder="1" applyAlignment="1" applyProtection="1">
      <alignment horizontal="center" vertical="center"/>
      <protection locked="0"/>
    </xf>
    <xf numFmtId="0" fontId="7" fillId="0" borderId="48" xfId="0" applyFont="1" applyBorder="1" applyAlignment="1" applyProtection="1">
      <alignment vertical="center"/>
      <protection locked="0"/>
    </xf>
    <xf numFmtId="0" fontId="2" fillId="0" borderId="17" xfId="0" applyFont="1" applyBorder="1" applyAlignment="1" applyProtection="1">
      <alignment horizontal="center" vertical="center"/>
      <protection locked="0"/>
    </xf>
    <xf numFmtId="0" fontId="4" fillId="0" borderId="1" xfId="1" applyBorder="1" applyAlignment="1" applyProtection="1">
      <alignment horizontal="center" vertical="center"/>
      <protection locked="0"/>
    </xf>
    <xf numFmtId="0" fontId="2" fillId="0" borderId="18" xfId="0" applyFont="1" applyBorder="1" applyAlignment="1" applyProtection="1">
      <alignment horizontal="center" vertical="center"/>
      <protection locked="0"/>
    </xf>
    <xf numFmtId="0" fontId="7" fillId="0" borderId="49" xfId="0" applyFont="1" applyBorder="1" applyAlignment="1" applyProtection="1">
      <alignment vertical="center"/>
      <protection locked="0"/>
    </xf>
    <xf numFmtId="0" fontId="2" fillId="0" borderId="22" xfId="0" applyFont="1" applyBorder="1" applyAlignment="1" applyProtection="1">
      <alignment horizontal="center" vertical="center"/>
      <protection locked="0"/>
    </xf>
    <xf numFmtId="0" fontId="4" fillId="0" borderId="3" xfId="1" applyBorder="1" applyAlignment="1" applyProtection="1">
      <alignment horizontal="center" vertical="center"/>
      <protection locked="0"/>
    </xf>
    <xf numFmtId="0" fontId="2" fillId="0" borderId="23" xfId="0" applyFont="1" applyBorder="1" applyAlignment="1" applyProtection="1">
      <alignment horizontal="center" vertical="center"/>
      <protection locked="0"/>
    </xf>
    <xf numFmtId="0" fontId="2" fillId="0" borderId="19" xfId="0" applyFont="1" applyBorder="1" applyAlignment="1" applyProtection="1">
      <alignment horizontal="center" vertical="center"/>
      <protection locked="0"/>
    </xf>
    <xf numFmtId="0" fontId="4" fillId="0" borderId="12" xfId="1" applyBorder="1" applyAlignment="1" applyProtection="1">
      <alignment horizontal="center" vertical="center"/>
      <protection locked="0"/>
    </xf>
    <xf numFmtId="0" fontId="2" fillId="0" borderId="20" xfId="0" applyFont="1" applyBorder="1" applyAlignment="1" applyProtection="1">
      <alignment horizontal="center" vertical="center"/>
      <protection locked="0"/>
    </xf>
    <xf numFmtId="0" fontId="1" fillId="3" borderId="24" xfId="0" applyFont="1" applyFill="1" applyBorder="1" applyAlignment="1" applyProtection="1">
      <alignment horizontal="center" vertical="center" wrapText="1"/>
      <protection locked="0"/>
    </xf>
    <xf numFmtId="0" fontId="1" fillId="3" borderId="21" xfId="0" applyFont="1" applyFill="1" applyBorder="1" applyAlignment="1" applyProtection="1">
      <alignment horizontal="center" vertical="center" wrapText="1"/>
      <protection locked="0"/>
    </xf>
    <xf numFmtId="0" fontId="1" fillId="3" borderId="25" xfId="0" applyFont="1" applyFill="1" applyBorder="1" applyAlignment="1" applyProtection="1">
      <alignment horizontal="center" vertical="center" wrapText="1"/>
      <protection locked="0"/>
    </xf>
    <xf numFmtId="0" fontId="2" fillId="0" borderId="14" xfId="0" applyFont="1" applyBorder="1" applyAlignment="1" applyProtection="1">
      <alignment horizontal="center" vertical="center"/>
      <protection locked="0"/>
    </xf>
    <xf numFmtId="0" fontId="2" fillId="0" borderId="15" xfId="0" applyFont="1" applyBorder="1" applyAlignment="1" applyProtection="1">
      <alignment horizontal="center" vertical="center"/>
      <protection locked="0"/>
    </xf>
    <xf numFmtId="0" fontId="8" fillId="0" borderId="16" xfId="1" applyFont="1" applyBorder="1" applyAlignment="1" applyProtection="1">
      <alignment vertical="center"/>
      <protection locked="0"/>
    </xf>
    <xf numFmtId="0" fontId="2" fillId="0" borderId="12" xfId="0" applyFont="1" applyBorder="1" applyAlignment="1" applyProtection="1">
      <alignment horizontal="center" vertical="center"/>
      <protection locked="0"/>
    </xf>
    <xf numFmtId="0" fontId="8" fillId="0" borderId="20" xfId="1" applyFont="1" applyBorder="1" applyAlignment="1" applyProtection="1">
      <alignment vertical="center"/>
      <protection locked="0"/>
    </xf>
    <xf numFmtId="0" fontId="2" fillId="0" borderId="1" xfId="0" applyFont="1" applyBorder="1" applyAlignment="1" applyProtection="1">
      <alignment horizontal="center" vertical="center"/>
      <protection locked="0"/>
    </xf>
    <xf numFmtId="0" fontId="2" fillId="0" borderId="1" xfId="0" applyFont="1" applyBorder="1" applyAlignment="1" applyProtection="1">
      <alignment horizontal="center" vertical="center" wrapText="1"/>
      <protection locked="0"/>
    </xf>
    <xf numFmtId="0" fontId="8" fillId="0" borderId="18" xfId="1" applyFont="1" applyBorder="1" applyAlignment="1" applyProtection="1">
      <alignment vertical="center"/>
      <protection locked="0"/>
    </xf>
    <xf numFmtId="0" fontId="2" fillId="0" borderId="3" xfId="0" applyFont="1" applyBorder="1" applyAlignment="1" applyProtection="1">
      <alignment horizontal="center" vertical="center"/>
      <protection locked="0"/>
    </xf>
    <xf numFmtId="0" fontId="8" fillId="0" borderId="23" xfId="1" applyFont="1" applyBorder="1" applyAlignment="1" applyProtection="1">
      <alignment vertical="center"/>
      <protection locked="0"/>
    </xf>
    <xf numFmtId="0" fontId="2" fillId="0" borderId="12" xfId="0" applyFont="1" applyBorder="1" applyAlignment="1" applyProtection="1">
      <alignment horizontal="center" vertical="center" wrapText="1"/>
      <protection locked="0"/>
    </xf>
    <xf numFmtId="0" fontId="2" fillId="0" borderId="15" xfId="0" applyFont="1" applyBorder="1" applyAlignment="1" applyProtection="1">
      <alignment horizontal="center" vertical="center" wrapText="1"/>
      <protection locked="0"/>
    </xf>
    <xf numFmtId="0" fontId="2" fillId="0" borderId="30" xfId="0" applyFont="1" applyBorder="1" applyAlignment="1" applyProtection="1">
      <alignment horizontal="center" vertical="center"/>
      <protection locked="0"/>
    </xf>
    <xf numFmtId="0" fontId="2" fillId="0" borderId="4" xfId="0" applyFont="1" applyBorder="1" applyAlignment="1" applyProtection="1">
      <alignment horizontal="center" vertical="center"/>
      <protection locked="0"/>
    </xf>
    <xf numFmtId="0" fontId="2" fillId="0" borderId="3" xfId="0" applyFont="1" applyBorder="1" applyAlignment="1" applyProtection="1">
      <alignment horizontal="center" vertical="center" wrapText="1"/>
      <protection locked="0"/>
    </xf>
    <xf numFmtId="0" fontId="8" fillId="0" borderId="31" xfId="1" applyFont="1" applyBorder="1" applyAlignment="1" applyProtection="1">
      <alignment vertical="center"/>
      <protection locked="0"/>
    </xf>
    <xf numFmtId="0" fontId="2" fillId="0" borderId="4" xfId="0" applyFont="1" applyBorder="1" applyAlignment="1" applyProtection="1">
      <alignment horizontal="center" vertical="center" wrapText="1"/>
      <protection locked="0"/>
    </xf>
    <xf numFmtId="0" fontId="2" fillId="0" borderId="29" xfId="0" applyFont="1" applyBorder="1" applyAlignment="1" applyProtection="1">
      <alignment horizontal="center" vertical="center"/>
      <protection locked="0"/>
    </xf>
    <xf numFmtId="0" fontId="2" fillId="0" borderId="27" xfId="0" applyFont="1" applyBorder="1" applyAlignment="1" applyProtection="1">
      <alignment horizontal="center" vertical="center"/>
      <protection locked="0"/>
    </xf>
    <xf numFmtId="0" fontId="8" fillId="0" borderId="28" xfId="1" applyFont="1" applyBorder="1" applyAlignment="1" applyProtection="1">
      <alignment vertical="center"/>
      <protection locked="0"/>
    </xf>
    <xf numFmtId="0" fontId="10" fillId="0" borderId="1" xfId="0" applyFont="1" applyBorder="1" applyAlignment="1" applyProtection="1">
      <alignment vertical="center"/>
      <protection locked="0"/>
    </xf>
    <xf numFmtId="0" fontId="21" fillId="0" borderId="1" xfId="0" applyFont="1" applyBorder="1" applyAlignment="1" applyProtection="1">
      <alignment vertical="center"/>
      <protection locked="0"/>
    </xf>
    <xf numFmtId="0" fontId="6" fillId="0" borderId="1" xfId="0" applyFont="1" applyBorder="1" applyAlignment="1" applyProtection="1">
      <alignment horizontal="left" vertical="center"/>
      <protection locked="0"/>
    </xf>
    <xf numFmtId="0" fontId="0" fillId="0" borderId="0" xfId="0" applyAlignment="1" applyProtection="1">
      <alignment vertical="center" wrapText="1"/>
      <protection locked="0"/>
    </xf>
    <xf numFmtId="0" fontId="6" fillId="0" borderId="6" xfId="0" applyFont="1" applyBorder="1" applyAlignment="1" applyProtection="1">
      <alignment horizontal="left" vertical="center"/>
      <protection locked="0"/>
    </xf>
    <xf numFmtId="0" fontId="12" fillId="2" borderId="4" xfId="0" applyFont="1" applyFill="1" applyBorder="1" applyAlignment="1" applyProtection="1">
      <alignment horizontal="center" vertical="center" wrapText="1"/>
      <protection locked="0"/>
    </xf>
    <xf numFmtId="0" fontId="22" fillId="0" borderId="3" xfId="0" applyFont="1" applyBorder="1" applyAlignment="1" applyProtection="1">
      <alignment vertical="center"/>
      <protection locked="0"/>
    </xf>
    <xf numFmtId="0" fontId="11" fillId="0" borderId="10" xfId="0" applyFont="1" applyBorder="1" applyAlignment="1" applyProtection="1">
      <alignment vertical="center"/>
      <protection locked="0"/>
    </xf>
    <xf numFmtId="0" fontId="11" fillId="0" borderId="4" xfId="0" applyFont="1" applyBorder="1" applyAlignment="1" applyProtection="1">
      <alignment vertical="center"/>
      <protection locked="0"/>
    </xf>
    <xf numFmtId="0" fontId="22" fillId="0" borderId="1" xfId="0" applyFont="1" applyBorder="1" applyAlignment="1" applyProtection="1">
      <alignment vertical="center"/>
      <protection locked="0"/>
    </xf>
    <xf numFmtId="0" fontId="11" fillId="0" borderId="6" xfId="0" applyFont="1" applyBorder="1" applyAlignment="1" applyProtection="1">
      <alignment vertical="center"/>
      <protection locked="0"/>
    </xf>
    <xf numFmtId="0" fontId="6" fillId="0" borderId="1" xfId="0" quotePrefix="1" applyFont="1" applyBorder="1" applyAlignment="1" applyProtection="1">
      <alignment vertical="center"/>
      <protection locked="0"/>
    </xf>
    <xf numFmtId="0" fontId="21" fillId="22" borderId="1" xfId="0" applyFont="1" applyFill="1" applyBorder="1" applyAlignment="1" applyProtection="1">
      <alignment vertical="center"/>
      <protection locked="0"/>
    </xf>
    <xf numFmtId="0" fontId="0" fillId="0" borderId="1" xfId="0" applyBorder="1" applyAlignment="1" applyProtection="1">
      <alignment vertical="center"/>
      <protection locked="0"/>
    </xf>
    <xf numFmtId="0" fontId="5" fillId="2" borderId="7"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0" borderId="5" xfId="0" applyFont="1" applyBorder="1" applyAlignment="1">
      <alignment horizontal="center" vertical="center"/>
    </xf>
    <xf numFmtId="0" fontId="10" fillId="0" borderId="1" xfId="0" applyFont="1" applyBorder="1" applyAlignment="1">
      <alignment vertical="center"/>
    </xf>
    <xf numFmtId="0" fontId="6" fillId="0" borderId="1" xfId="0" applyFont="1" applyBorder="1" applyAlignment="1">
      <alignment vertical="center"/>
    </xf>
    <xf numFmtId="0" fontId="4" fillId="0" borderId="5" xfId="1" applyBorder="1" applyAlignment="1" applyProtection="1">
      <alignment horizontal="left" vertical="center"/>
    </xf>
    <xf numFmtId="0" fontId="6" fillId="0" borderId="1" xfId="0" applyFont="1" applyBorder="1" applyAlignment="1">
      <alignment horizontal="left" vertical="center"/>
    </xf>
    <xf numFmtId="164" fontId="6" fillId="0" borderId="1" xfId="0" applyNumberFormat="1" applyFont="1" applyBorder="1" applyAlignment="1">
      <alignment vertical="center"/>
    </xf>
    <xf numFmtId="0" fontId="6" fillId="0" borderId="3" xfId="0" applyFont="1" applyBorder="1" applyAlignment="1">
      <alignment vertical="center"/>
    </xf>
    <xf numFmtId="0" fontId="6" fillId="0" borderId="3" xfId="0" applyFont="1" applyBorder="1" applyAlignment="1">
      <alignment horizontal="left" vertical="center"/>
    </xf>
    <xf numFmtId="0" fontId="6" fillId="0" borderId="9" xfId="0" applyFont="1" applyBorder="1" applyAlignment="1">
      <alignment horizontal="center" vertical="center"/>
    </xf>
    <xf numFmtId="0" fontId="21" fillId="0" borderId="3" xfId="0" applyFont="1" applyBorder="1" applyAlignment="1">
      <alignment vertical="center"/>
    </xf>
    <xf numFmtId="0" fontId="6" fillId="0" borderId="3" xfId="1" applyFont="1" applyBorder="1" applyAlignment="1" applyProtection="1">
      <alignment vertical="center"/>
    </xf>
    <xf numFmtId="0" fontId="21" fillId="22" borderId="1" xfId="0" applyFont="1" applyFill="1" applyBorder="1" applyAlignment="1">
      <alignment vertical="center"/>
    </xf>
    <xf numFmtId="0" fontId="26" fillId="22" borderId="5" xfId="1" applyFont="1" applyFill="1" applyBorder="1" applyAlignment="1" applyProtection="1">
      <alignment horizontal="left" vertical="center"/>
    </xf>
    <xf numFmtId="0" fontId="21" fillId="22" borderId="1" xfId="0" applyFont="1" applyFill="1" applyBorder="1" applyAlignment="1">
      <alignment horizontal="left" vertical="center"/>
    </xf>
    <xf numFmtId="0" fontId="0" fillId="0" borderId="0" xfId="0" applyAlignment="1">
      <alignment vertical="center"/>
    </xf>
    <xf numFmtId="0" fontId="3" fillId="4" borderId="1" xfId="0" applyFont="1" applyFill="1" applyBorder="1" applyAlignment="1">
      <alignment horizontal="left" vertical="center"/>
    </xf>
    <xf numFmtId="0" fontId="3" fillId="4" borderId="1" xfId="0" applyFont="1" applyFill="1" applyBorder="1" applyAlignment="1">
      <alignment vertical="center"/>
    </xf>
    <xf numFmtId="0" fontId="3" fillId="0" borderId="0" xfId="0" applyFont="1" applyAlignment="1">
      <alignment vertical="center"/>
    </xf>
    <xf numFmtId="0" fontId="0" fillId="0" borderId="0" xfId="0" applyAlignment="1">
      <alignment horizontal="center" vertical="center"/>
    </xf>
    <xf numFmtId="0" fontId="25" fillId="0" borderId="1" xfId="0" applyFont="1" applyBorder="1" applyAlignment="1">
      <alignment vertical="center"/>
    </xf>
    <xf numFmtId="0" fontId="11" fillId="0" borderId="1" xfId="0" applyFont="1" applyBorder="1" applyAlignment="1">
      <alignment vertical="center"/>
    </xf>
    <xf numFmtId="0" fontId="11" fillId="0" borderId="1" xfId="1" applyFont="1" applyBorder="1" applyAlignment="1" applyProtection="1">
      <alignment vertical="center"/>
    </xf>
    <xf numFmtId="0" fontId="11" fillId="0" borderId="1" xfId="0" applyFont="1" applyBorder="1" applyAlignment="1">
      <alignment horizontal="left" vertical="center"/>
    </xf>
    <xf numFmtId="0" fontId="11" fillId="0" borderId="9" xfId="0" applyFont="1" applyBorder="1" applyAlignment="1">
      <alignment horizontal="center" vertical="center"/>
    </xf>
    <xf numFmtId="0" fontId="25" fillId="0" borderId="3" xfId="0" applyFont="1" applyBorder="1" applyAlignment="1">
      <alignment vertical="center"/>
    </xf>
    <xf numFmtId="0" fontId="11" fillId="0" borderId="3" xfId="0" applyFont="1" applyBorder="1" applyAlignment="1">
      <alignment vertical="center"/>
    </xf>
    <xf numFmtId="0" fontId="11" fillId="0" borderId="3" xfId="1" applyFont="1" applyBorder="1" applyAlignment="1" applyProtection="1">
      <alignment vertical="center"/>
    </xf>
    <xf numFmtId="0" fontId="11" fillId="0" borderId="3" xfId="0" applyFont="1" applyBorder="1" applyAlignment="1">
      <alignment horizontal="left" vertical="center"/>
    </xf>
    <xf numFmtId="0" fontId="21" fillId="0" borderId="1" xfId="0" applyFont="1" applyBorder="1" applyAlignment="1">
      <alignment vertical="center"/>
    </xf>
    <xf numFmtId="0" fontId="4" fillId="0" borderId="5" xfId="1" applyFill="1" applyBorder="1" applyAlignment="1" applyProtection="1">
      <alignment horizontal="left" vertical="center"/>
    </xf>
    <xf numFmtId="0" fontId="4" fillId="0" borderId="3" xfId="1" applyBorder="1" applyAlignment="1" applyProtection="1">
      <alignment vertical="center"/>
    </xf>
    <xf numFmtId="0" fontId="0" fillId="0" borderId="0" xfId="0" applyAlignment="1">
      <alignment vertical="center" wrapText="1"/>
    </xf>
    <xf numFmtId="164" fontId="6" fillId="0" borderId="1" xfId="0" applyNumberFormat="1" applyFont="1" applyBorder="1" applyAlignment="1">
      <alignment horizontal="left" vertical="center"/>
    </xf>
    <xf numFmtId="0" fontId="4" fillId="0" borderId="1" xfId="1" applyNumberFormat="1" applyBorder="1" applyAlignment="1" applyProtection="1">
      <alignment horizontal="left" vertical="center"/>
    </xf>
    <xf numFmtId="0" fontId="5" fillId="0" borderId="5" xfId="0" applyFont="1" applyBorder="1" applyAlignment="1">
      <alignment horizontal="left" vertical="center"/>
    </xf>
    <xf numFmtId="6" fontId="6" fillId="0" borderId="1" xfId="0" applyNumberFormat="1" applyFont="1" applyBorder="1" applyAlignment="1">
      <alignment horizontal="left" vertical="center"/>
    </xf>
    <xf numFmtId="0" fontId="3" fillId="23" borderId="66" xfId="0" applyFont="1" applyFill="1" applyBorder="1" applyAlignment="1">
      <alignment vertical="center"/>
    </xf>
    <xf numFmtId="0" fontId="3" fillId="24" borderId="66" xfId="0" applyFont="1" applyFill="1" applyBorder="1" applyAlignment="1">
      <alignment vertical="center"/>
    </xf>
    <xf numFmtId="0" fontId="0" fillId="0" borderId="1" xfId="0" applyBorder="1" applyAlignment="1">
      <alignment vertical="center" wrapText="1"/>
    </xf>
    <xf numFmtId="0" fontId="5" fillId="2" borderId="4" xfId="0" applyFont="1" applyFill="1" applyBorder="1" applyAlignment="1">
      <alignment horizontal="center" vertical="center"/>
    </xf>
    <xf numFmtId="0" fontId="5" fillId="2" borderId="26" xfId="0" applyFont="1" applyFill="1" applyBorder="1" applyAlignment="1">
      <alignment horizontal="center" vertical="center" wrapText="1"/>
    </xf>
    <xf numFmtId="0" fontId="4" fillId="0" borderId="1" xfId="1" applyFill="1" applyBorder="1" applyAlignment="1" applyProtection="1">
      <alignment vertical="center"/>
    </xf>
    <xf numFmtId="0" fontId="6" fillId="6" borderId="5" xfId="0" applyFont="1" applyFill="1" applyBorder="1" applyAlignment="1">
      <alignment horizontal="center" vertical="center"/>
    </xf>
    <xf numFmtId="0" fontId="6" fillId="6" borderId="1" xfId="0" applyFont="1" applyFill="1" applyBorder="1" applyAlignment="1">
      <alignment vertical="center"/>
    </xf>
    <xf numFmtId="0" fontId="4" fillId="6" borderId="1" xfId="1" applyFill="1" applyBorder="1" applyAlignment="1" applyProtection="1">
      <alignment vertical="center"/>
    </xf>
    <xf numFmtId="0" fontId="6" fillId="6" borderId="1" xfId="0" applyFont="1" applyFill="1" applyBorder="1" applyAlignment="1">
      <alignment horizontal="left" vertical="center"/>
    </xf>
    <xf numFmtId="17" fontId="6" fillId="0" borderId="1" xfId="0" applyNumberFormat="1" applyFont="1" applyBorder="1" applyAlignment="1">
      <alignment horizontal="left" vertical="center"/>
    </xf>
    <xf numFmtId="0" fontId="6" fillId="0" borderId="1" xfId="1" applyFont="1" applyFill="1" applyBorder="1" applyAlignment="1" applyProtection="1">
      <alignment vertical="center"/>
    </xf>
    <xf numFmtId="0" fontId="4" fillId="0" borderId="3" xfId="1" applyFill="1" applyBorder="1" applyAlignment="1" applyProtection="1">
      <alignment vertical="center"/>
    </xf>
    <xf numFmtId="0" fontId="0" fillId="0" borderId="0" xfId="0" applyAlignment="1">
      <alignment horizontal="left" vertical="center"/>
    </xf>
    <xf numFmtId="165" fontId="6" fillId="0" borderId="1" xfId="0" applyNumberFormat="1" applyFont="1" applyBorder="1" applyAlignment="1" applyProtection="1">
      <alignment vertical="center"/>
      <protection locked="0"/>
    </xf>
    <xf numFmtId="165" fontId="6" fillId="0" borderId="6" xfId="0" applyNumberFormat="1" applyFont="1" applyBorder="1" applyAlignment="1" applyProtection="1">
      <alignment vertical="center"/>
      <protection locked="0"/>
    </xf>
    <xf numFmtId="165" fontId="6" fillId="0" borderId="3" xfId="0" applyNumberFormat="1" applyFont="1" applyBorder="1" applyAlignment="1" applyProtection="1">
      <alignment vertical="center"/>
      <protection locked="0"/>
    </xf>
    <xf numFmtId="165" fontId="6" fillId="0" borderId="10" xfId="0" applyNumberFormat="1" applyFont="1" applyBorder="1" applyAlignment="1" applyProtection="1">
      <alignment vertical="center"/>
      <protection locked="0"/>
    </xf>
    <xf numFmtId="0" fontId="6" fillId="6" borderId="1" xfId="0" applyFont="1" applyFill="1" applyBorder="1" applyAlignment="1" applyProtection="1">
      <alignment vertical="center"/>
      <protection locked="0"/>
    </xf>
    <xf numFmtId="165" fontId="6" fillId="6" borderId="1" xfId="0" applyNumberFormat="1" applyFont="1" applyFill="1" applyBorder="1" applyAlignment="1" applyProtection="1">
      <alignment vertical="center"/>
      <protection locked="0"/>
    </xf>
    <xf numFmtId="165" fontId="6" fillId="6" borderId="6" xfId="0" applyNumberFormat="1" applyFont="1" applyFill="1" applyBorder="1" applyAlignment="1" applyProtection="1">
      <alignment vertical="center"/>
      <protection locked="0"/>
    </xf>
    <xf numFmtId="0" fontId="6" fillId="6" borderId="6" xfId="0" applyFont="1" applyFill="1" applyBorder="1" applyAlignment="1" applyProtection="1">
      <alignment vertical="center"/>
      <protection locked="0"/>
    </xf>
    <xf numFmtId="15" fontId="6" fillId="0" borderId="6" xfId="0" applyNumberFormat="1" applyFont="1" applyBorder="1" applyAlignment="1" applyProtection="1">
      <alignment vertical="center"/>
      <protection locked="0"/>
    </xf>
    <xf numFmtId="0" fontId="7" fillId="0" borderId="0" xfId="0" applyFont="1" applyAlignment="1">
      <alignment vertical="center"/>
    </xf>
    <xf numFmtId="0" fontId="15" fillId="0" borderId="0" xfId="0" applyFont="1" applyAlignment="1">
      <alignment vertical="center"/>
    </xf>
    <xf numFmtId="0" fontId="1" fillId="3" borderId="24" xfId="0" applyFont="1" applyFill="1" applyBorder="1" applyAlignment="1">
      <alignment horizontal="center" vertical="center" wrapText="1"/>
    </xf>
    <xf numFmtId="0" fontId="1" fillId="3" borderId="21" xfId="0" applyFont="1" applyFill="1" applyBorder="1" applyAlignment="1">
      <alignment horizontal="center" vertical="center" wrapText="1"/>
    </xf>
    <xf numFmtId="0" fontId="1" fillId="3" borderId="32" xfId="0" applyFont="1" applyFill="1" applyBorder="1" applyAlignment="1">
      <alignment horizontal="center" vertical="center" wrapText="1"/>
    </xf>
    <xf numFmtId="0" fontId="1" fillId="9" borderId="38" xfId="0" applyFont="1" applyFill="1" applyBorder="1" applyAlignment="1">
      <alignment horizontal="center" vertical="center" wrapText="1"/>
    </xf>
    <xf numFmtId="0" fontId="16" fillId="9" borderId="39" xfId="0" applyFont="1" applyFill="1" applyBorder="1" applyAlignment="1">
      <alignment horizontal="center" vertical="center" wrapText="1"/>
    </xf>
    <xf numFmtId="0" fontId="1" fillId="9" borderId="39" xfId="0" applyFont="1" applyFill="1" applyBorder="1" applyAlignment="1">
      <alignment horizontal="center" vertical="center" wrapText="1"/>
    </xf>
    <xf numFmtId="0" fontId="20" fillId="16" borderId="42" xfId="0" applyFont="1" applyFill="1" applyBorder="1" applyAlignment="1">
      <alignment horizontal="center" vertical="center" wrapText="1"/>
    </xf>
    <xf numFmtId="0" fontId="1" fillId="16" borderId="42" xfId="0" applyFont="1" applyFill="1" applyBorder="1" applyAlignment="1">
      <alignment horizontal="center" vertical="center" wrapText="1"/>
    </xf>
    <xf numFmtId="0" fontId="1" fillId="10" borderId="42" xfId="0" applyFont="1" applyFill="1" applyBorder="1" applyAlignment="1">
      <alignment horizontal="center" vertical="center" wrapText="1"/>
    </xf>
    <xf numFmtId="0" fontId="17" fillId="10" borderId="42" xfId="0" applyFont="1" applyFill="1" applyBorder="1" applyAlignment="1">
      <alignment horizontal="center" vertical="center" wrapText="1"/>
    </xf>
    <xf numFmtId="0" fontId="17" fillId="18" borderId="42" xfId="0" applyFont="1" applyFill="1" applyBorder="1" applyAlignment="1">
      <alignment horizontal="center" vertical="center" wrapText="1"/>
    </xf>
    <xf numFmtId="0" fontId="18" fillId="18" borderId="42" xfId="0" applyFont="1" applyFill="1" applyBorder="1" applyAlignment="1">
      <alignment horizontal="center" vertical="center" wrapText="1"/>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8" fillId="0" borderId="29" xfId="1" applyFont="1" applyBorder="1" applyAlignment="1" applyProtection="1">
      <alignment vertical="center"/>
    </xf>
    <xf numFmtId="0" fontId="7" fillId="0" borderId="36" xfId="0" applyFont="1" applyBorder="1" applyAlignment="1">
      <alignment horizontal="center" vertical="center"/>
    </xf>
    <xf numFmtId="0" fontId="15" fillId="0" borderId="37" xfId="0" applyFont="1" applyBorder="1" applyAlignment="1">
      <alignment horizontal="center" vertical="center"/>
    </xf>
    <xf numFmtId="0" fontId="7" fillId="0" borderId="37" xfId="0" applyFont="1" applyBorder="1" applyAlignment="1">
      <alignment horizontal="center" vertical="center"/>
    </xf>
    <xf numFmtId="0" fontId="14" fillId="0" borderId="37" xfId="0" applyFont="1" applyBorder="1" applyAlignment="1">
      <alignment horizontal="center" vertical="center"/>
    </xf>
    <xf numFmtId="0" fontId="2" fillId="0" borderId="22" xfId="0" applyFont="1" applyBorder="1" applyAlignment="1">
      <alignment horizontal="center" vertical="center"/>
    </xf>
    <xf numFmtId="0" fontId="2" fillId="0" borderId="3" xfId="0" applyFont="1" applyBorder="1" applyAlignment="1">
      <alignment horizontal="center" vertical="center"/>
    </xf>
    <xf numFmtId="0" fontId="8" fillId="0" borderId="10" xfId="1" applyFont="1" applyBorder="1" applyAlignment="1" applyProtection="1">
      <alignment vertical="center"/>
    </xf>
    <xf numFmtId="0" fontId="7" fillId="0" borderId="40" xfId="0" applyFont="1" applyBorder="1" applyAlignment="1">
      <alignment horizontal="center" vertical="center"/>
    </xf>
    <xf numFmtId="0" fontId="15" fillId="0" borderId="41" xfId="0" applyFont="1" applyBorder="1" applyAlignment="1">
      <alignment horizontal="center" vertical="center"/>
    </xf>
    <xf numFmtId="0" fontId="7" fillId="0" borderId="41" xfId="0" applyFont="1" applyBorder="1" applyAlignment="1">
      <alignment horizontal="center" vertical="center"/>
    </xf>
    <xf numFmtId="0" fontId="14" fillId="0" borderId="41" xfId="0" applyFont="1" applyBorder="1" applyAlignment="1">
      <alignment horizontal="center" vertical="center"/>
    </xf>
    <xf numFmtId="0" fontId="7" fillId="0" borderId="53" xfId="0" applyFont="1" applyBorder="1" applyAlignment="1">
      <alignment horizontal="center" vertical="center"/>
    </xf>
    <xf numFmtId="0" fontId="15" fillId="0" borderId="54" xfId="0" applyFont="1" applyBorder="1" applyAlignment="1">
      <alignment horizontal="center" vertical="center"/>
    </xf>
    <xf numFmtId="0" fontId="7" fillId="0" borderId="54" xfId="0" applyFont="1" applyBorder="1" applyAlignment="1">
      <alignment horizontal="center" vertical="center"/>
    </xf>
    <xf numFmtId="0" fontId="14" fillId="0" borderId="54" xfId="0" applyFont="1" applyBorder="1" applyAlignment="1">
      <alignment horizontal="center" vertical="center"/>
    </xf>
    <xf numFmtId="0" fontId="7" fillId="0" borderId="55" xfId="0" applyFont="1" applyBorder="1" applyAlignment="1">
      <alignment horizontal="center" vertical="center"/>
    </xf>
    <xf numFmtId="0" fontId="2" fillId="0" borderId="17" xfId="0" applyFont="1" applyBorder="1" applyAlignment="1">
      <alignment horizontal="center" vertical="center"/>
    </xf>
    <xf numFmtId="0" fontId="2" fillId="0" borderId="1" xfId="0" applyFont="1" applyBorder="1" applyAlignment="1">
      <alignment horizontal="center" vertical="center"/>
    </xf>
    <xf numFmtId="0" fontId="8" fillId="0" borderId="6" xfId="1" applyFont="1" applyBorder="1" applyAlignment="1" applyProtection="1">
      <alignment vertical="center"/>
    </xf>
    <xf numFmtId="0" fontId="7" fillId="0" borderId="34" xfId="0" applyFont="1" applyBorder="1" applyAlignment="1">
      <alignment horizontal="center" vertical="center"/>
    </xf>
    <xf numFmtId="0" fontId="15" fillId="0" borderId="35" xfId="0" applyFont="1" applyBorder="1" applyAlignment="1">
      <alignment horizontal="center" vertical="center"/>
    </xf>
    <xf numFmtId="0" fontId="7" fillId="0" borderId="35" xfId="0" applyFont="1" applyBorder="1" applyAlignment="1">
      <alignment horizontal="center" vertical="center"/>
    </xf>
    <xf numFmtId="0" fontId="14" fillId="0" borderId="35" xfId="0" applyFont="1" applyBorder="1" applyAlignment="1">
      <alignment horizontal="center" vertical="center"/>
    </xf>
    <xf numFmtId="0" fontId="7" fillId="0" borderId="56" xfId="0" applyFont="1" applyBorder="1" applyAlignment="1">
      <alignment horizontal="center" vertical="center"/>
    </xf>
    <xf numFmtId="0" fontId="2" fillId="0" borderId="19" xfId="0" applyFont="1" applyBorder="1" applyAlignment="1">
      <alignment horizontal="center" vertical="center"/>
    </xf>
    <xf numFmtId="0" fontId="2" fillId="0" borderId="12" xfId="0" applyFont="1" applyBorder="1" applyAlignment="1">
      <alignment horizontal="center" vertical="center"/>
    </xf>
    <xf numFmtId="0" fontId="8" fillId="0" borderId="33" xfId="1" applyFont="1" applyBorder="1" applyAlignment="1" applyProtection="1">
      <alignment vertical="center"/>
    </xf>
    <xf numFmtId="0" fontId="7" fillId="0" borderId="57" xfId="0" applyFont="1" applyBorder="1" applyAlignment="1">
      <alignment horizontal="center" vertical="center"/>
    </xf>
    <xf numFmtId="0" fontId="15" fillId="0" borderId="58" xfId="0" applyFont="1" applyBorder="1" applyAlignment="1">
      <alignment horizontal="center" vertical="center"/>
    </xf>
    <xf numFmtId="0" fontId="7" fillId="0" borderId="58" xfId="0" applyFont="1" applyBorder="1" applyAlignment="1">
      <alignment horizontal="center" vertical="center"/>
    </xf>
    <xf numFmtId="0" fontId="14" fillId="0" borderId="58" xfId="0" applyFont="1" applyBorder="1" applyAlignment="1">
      <alignment horizontal="center" vertical="center"/>
    </xf>
    <xf numFmtId="0" fontId="7" fillId="0" borderId="59" xfId="0" applyFont="1" applyBorder="1" applyAlignment="1">
      <alignment horizontal="center" vertical="center"/>
    </xf>
    <xf numFmtId="0" fontId="2" fillId="0" borderId="24" xfId="0" applyFont="1" applyBorder="1" applyAlignment="1">
      <alignment horizontal="center" vertical="center"/>
    </xf>
    <xf numFmtId="0" fontId="2" fillId="0" borderId="21" xfId="0" applyFont="1" applyBorder="1" applyAlignment="1">
      <alignment horizontal="center" vertical="center"/>
    </xf>
    <xf numFmtId="0" fontId="8" fillId="0" borderId="32" xfId="1" applyFont="1" applyBorder="1" applyAlignment="1" applyProtection="1">
      <alignment vertical="center"/>
    </xf>
    <xf numFmtId="0" fontId="2" fillId="0" borderId="50" xfId="0" applyFont="1" applyBorder="1" applyAlignment="1">
      <alignment horizontal="center" vertical="center"/>
    </xf>
    <xf numFmtId="0" fontId="2" fillId="0" borderId="13" xfId="0" applyFont="1" applyBorder="1" applyAlignment="1">
      <alignment horizontal="center" vertical="center" wrapText="1"/>
    </xf>
    <xf numFmtId="0" fontId="2" fillId="0" borderId="13" xfId="0" applyFont="1" applyBorder="1" applyAlignment="1">
      <alignment horizontal="center" vertical="center"/>
    </xf>
    <xf numFmtId="0" fontId="8" fillId="0" borderId="51" xfId="1" applyFont="1" applyBorder="1" applyAlignment="1" applyProtection="1">
      <alignment vertical="center"/>
    </xf>
    <xf numFmtId="0" fontId="7" fillId="0" borderId="52" xfId="0" applyFont="1" applyBorder="1" applyAlignment="1">
      <alignment horizontal="center" vertical="center"/>
    </xf>
    <xf numFmtId="0" fontId="23" fillId="0" borderId="0" xfId="0" applyFont="1" applyAlignment="1">
      <alignment vertical="center"/>
    </xf>
    <xf numFmtId="0" fontId="24" fillId="13" borderId="0" xfId="0" applyFont="1" applyFill="1" applyAlignment="1">
      <alignment vertical="center"/>
    </xf>
    <xf numFmtId="0" fontId="24" fillId="11" borderId="0" xfId="0" applyFont="1" applyFill="1" applyAlignment="1">
      <alignment horizontal="center" vertical="center"/>
    </xf>
    <xf numFmtId="0" fontId="24" fillId="16" borderId="0" xfId="0" applyFont="1" applyFill="1" applyAlignment="1">
      <alignment horizontal="center" vertical="center"/>
    </xf>
    <xf numFmtId="0" fontId="24" fillId="12" borderId="0" xfId="0" applyFont="1" applyFill="1" applyAlignment="1">
      <alignment horizontal="center" vertical="center"/>
    </xf>
    <xf numFmtId="0" fontId="24" fillId="19" borderId="0" xfId="0" applyFont="1" applyFill="1" applyAlignment="1">
      <alignment horizontal="center" vertical="center"/>
    </xf>
    <xf numFmtId="0" fontId="2" fillId="0" borderId="21" xfId="0" applyFont="1" applyBorder="1" applyAlignment="1" applyProtection="1">
      <alignment horizontal="center" vertical="center" wrapText="1"/>
      <protection locked="0"/>
    </xf>
    <xf numFmtId="0" fontId="2" fillId="0" borderId="13" xfId="0" applyFont="1" applyBorder="1" applyAlignment="1" applyProtection="1">
      <alignment horizontal="center" vertical="center" wrapText="1"/>
      <protection locked="0"/>
    </xf>
    <xf numFmtId="0" fontId="2" fillId="0" borderId="2" xfId="0" applyFont="1" applyBorder="1" applyAlignment="1" applyProtection="1">
      <alignment horizontal="center" vertical="center"/>
      <protection locked="0"/>
    </xf>
    <xf numFmtId="0" fontId="4" fillId="0" borderId="1" xfId="1" applyBorder="1" applyAlignment="1" applyProtection="1">
      <alignment vertical="center"/>
    </xf>
    <xf numFmtId="0" fontId="6" fillId="0" borderId="1" xfId="0" applyFont="1" applyBorder="1" applyAlignment="1" applyProtection="1">
      <alignment horizontal="left" vertical="center" wrapText="1"/>
      <protection locked="0"/>
    </xf>
    <xf numFmtId="0" fontId="19" fillId="15" borderId="43" xfId="0" applyFont="1" applyFill="1" applyBorder="1" applyAlignment="1">
      <alignment horizontal="center" vertical="center"/>
    </xf>
    <xf numFmtId="0" fontId="19" fillId="15" borderId="44" xfId="0" applyFont="1" applyFill="1" applyBorder="1" applyAlignment="1">
      <alignment horizontal="center" vertical="center"/>
    </xf>
    <xf numFmtId="0" fontId="19" fillId="15" borderId="45" xfId="0" applyFont="1" applyFill="1" applyBorder="1" applyAlignment="1">
      <alignment horizontal="center" vertical="center"/>
    </xf>
    <xf numFmtId="0" fontId="13" fillId="17" borderId="43" xfId="0" applyFont="1" applyFill="1" applyBorder="1" applyAlignment="1">
      <alignment horizontal="center" vertical="center"/>
    </xf>
    <xf numFmtId="0" fontId="13" fillId="17" borderId="45" xfId="0" applyFont="1" applyFill="1" applyBorder="1" applyAlignment="1">
      <alignment horizontal="center" vertical="center"/>
    </xf>
    <xf numFmtId="0" fontId="19" fillId="14" borderId="43" xfId="0" applyFont="1" applyFill="1" applyBorder="1" applyAlignment="1">
      <alignment horizontal="center" vertical="center"/>
    </xf>
    <xf numFmtId="0" fontId="19" fillId="14" borderId="44" xfId="0" applyFont="1" applyFill="1" applyBorder="1" applyAlignment="1">
      <alignment horizontal="center" vertical="center"/>
    </xf>
    <xf numFmtId="0" fontId="19" fillId="14" borderId="45" xfId="0" applyFont="1" applyFill="1" applyBorder="1" applyAlignment="1">
      <alignment horizontal="center" vertical="center"/>
    </xf>
    <xf numFmtId="0" fontId="1" fillId="21" borderId="60" xfId="0" applyFont="1" applyFill="1" applyBorder="1" applyAlignment="1" applyProtection="1">
      <alignment horizontal="center" vertical="center"/>
      <protection locked="0"/>
    </xf>
    <xf numFmtId="0" fontId="1" fillId="21" borderId="61" xfId="0" applyFont="1" applyFill="1" applyBorder="1" applyAlignment="1" applyProtection="1">
      <alignment horizontal="center" vertical="center"/>
      <protection locked="0"/>
    </xf>
    <xf numFmtId="0" fontId="1" fillId="21" borderId="64" xfId="0" applyFont="1" applyFill="1" applyBorder="1" applyAlignment="1" applyProtection="1">
      <alignment horizontal="center" vertical="center"/>
      <protection locked="0"/>
    </xf>
    <xf numFmtId="0" fontId="1" fillId="21" borderId="62" xfId="0" applyFont="1" applyFill="1" applyBorder="1" applyAlignment="1" applyProtection="1">
      <alignment horizontal="center" vertical="center"/>
      <protection locked="0"/>
    </xf>
    <xf numFmtId="0" fontId="1" fillId="21" borderId="63" xfId="0" applyFont="1" applyFill="1" applyBorder="1" applyAlignment="1" applyProtection="1">
      <alignment horizontal="center" vertical="center"/>
      <protection locked="0"/>
    </xf>
    <xf numFmtId="0" fontId="1" fillId="21" borderId="65" xfId="0" applyFont="1" applyFill="1" applyBorder="1" applyAlignment="1" applyProtection="1">
      <alignment horizontal="center" vertical="center"/>
      <protection locked="0"/>
    </xf>
    <xf numFmtId="0" fontId="2" fillId="0" borderId="21" xfId="0" applyFont="1" applyBorder="1" applyAlignment="1" applyProtection="1">
      <alignment horizontal="center" vertical="center" wrapText="1"/>
      <protection locked="0"/>
    </xf>
    <xf numFmtId="0" fontId="2" fillId="0" borderId="2" xfId="0" applyFont="1" applyBorder="1" applyAlignment="1" applyProtection="1">
      <alignment horizontal="center" vertical="center" wrapText="1"/>
      <protection locked="0"/>
    </xf>
    <xf numFmtId="0" fontId="2" fillId="0" borderId="13" xfId="0" applyFont="1" applyBorder="1" applyAlignment="1" applyProtection="1">
      <alignment horizontal="center" vertical="center" wrapText="1"/>
      <protection locked="0"/>
    </xf>
    <xf numFmtId="0" fontId="2" fillId="0" borderId="21" xfId="0" applyFont="1" applyBorder="1" applyAlignment="1" applyProtection="1">
      <alignment horizontal="center" vertical="center"/>
      <protection locked="0"/>
    </xf>
    <xf numFmtId="0" fontId="2" fillId="0" borderId="13" xfId="0" applyFont="1" applyBorder="1" applyAlignment="1" applyProtection="1">
      <alignment horizontal="center" vertical="center"/>
      <protection locked="0"/>
    </xf>
    <xf numFmtId="0" fontId="2" fillId="0" borderId="2" xfId="0" applyFont="1" applyBorder="1" applyAlignment="1" applyProtection="1">
      <alignment horizontal="center" vertical="center"/>
      <protection locked="0"/>
    </xf>
    <xf numFmtId="0" fontId="0" fillId="0" borderId="6"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6" xfId="0" quotePrefix="1" applyBorder="1" applyAlignment="1">
      <alignment horizontal="left" vertical="center" wrapText="1"/>
    </xf>
    <xf numFmtId="0" fontId="0" fillId="0" borderId="11" xfId="0" quotePrefix="1" applyBorder="1" applyAlignment="1">
      <alignment horizontal="left" vertical="center" wrapText="1"/>
    </xf>
    <xf numFmtId="0" fontId="0" fillId="0" borderId="5" xfId="0" quotePrefix="1" applyBorder="1" applyAlignment="1">
      <alignment horizontal="left" vertical="center" wrapText="1"/>
    </xf>
    <xf numFmtId="0" fontId="3" fillId="4" borderId="6"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5" xfId="0" applyFont="1" applyFill="1" applyBorder="1" applyAlignment="1">
      <alignment horizontal="center" vertical="center"/>
    </xf>
    <xf numFmtId="0" fontId="0" fillId="8" borderId="1" xfId="0" applyFill="1" applyBorder="1" applyAlignment="1">
      <alignment horizontal="left" vertical="center" wrapText="1"/>
    </xf>
    <xf numFmtId="0" fontId="3" fillId="8" borderId="1" xfId="0" applyFont="1" applyFill="1" applyBorder="1" applyAlignment="1">
      <alignment horizontal="center" vertical="center" wrapText="1"/>
    </xf>
    <xf numFmtId="0" fontId="3" fillId="8" borderId="6"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6" borderId="6" xfId="0" applyFill="1" applyBorder="1" applyAlignment="1">
      <alignment horizontal="center" vertical="center"/>
    </xf>
    <xf numFmtId="0" fontId="0" fillId="6" borderId="5" xfId="0" applyFill="1"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vertical="center"/>
    </xf>
    <xf numFmtId="0" fontId="0" fillId="0" borderId="6" xfId="0" applyBorder="1" applyAlignment="1">
      <alignment vertical="center"/>
    </xf>
    <xf numFmtId="0" fontId="0" fillId="0" borderId="11" xfId="0" applyBorder="1" applyAlignment="1">
      <alignment vertical="center"/>
    </xf>
    <xf numFmtId="0" fontId="0" fillId="0" borderId="5" xfId="0" applyBorder="1" applyAlignment="1">
      <alignment vertical="center"/>
    </xf>
    <xf numFmtId="0" fontId="0" fillId="0" borderId="1" xfId="0" applyBorder="1" applyAlignment="1">
      <alignment horizontal="left" vertical="center" wrapText="1"/>
    </xf>
    <xf numFmtId="0" fontId="4" fillId="0" borderId="1" xfId="1" applyBorder="1" applyAlignment="1" applyProtection="1">
      <alignment vertical="center" wrapText="1"/>
    </xf>
    <xf numFmtId="0" fontId="4" fillId="0" borderId="1" xfId="1" applyBorder="1" applyAlignment="1" applyProtection="1">
      <alignmen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0" fillId="0" borderId="1" xfId="0" applyBorder="1" applyAlignment="1">
      <alignment horizontal="left" vertical="center"/>
    </xf>
  </cellXfs>
  <cellStyles count="2">
    <cellStyle name="Hyperlink" xfId="1" builtinId="8"/>
    <cellStyle name="Normal" xfId="0" builtinId="0"/>
  </cellStyles>
  <dxfs count="449">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numFmt numFmtId="0" formatCode="Genera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ont>
        <color auto="1"/>
      </font>
      <fill>
        <patternFill>
          <bgColor theme="2" tint="-0.24994659260841701"/>
        </patternFill>
      </fill>
    </dxf>
    <dxf>
      <fill>
        <patternFill>
          <bgColor theme="2" tint="-9.9948118533890809E-2"/>
        </patternFill>
      </fill>
    </dxf>
    <dxf>
      <font>
        <color auto="1"/>
      </font>
      <fill>
        <patternFill>
          <bgColor theme="2" tint="-0.24994659260841701"/>
        </patternFill>
      </fill>
    </dxf>
    <dxf>
      <fill>
        <patternFill>
          <bgColor theme="7"/>
        </patternFill>
      </fill>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wrapText="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ont>
        <color auto="1"/>
      </font>
      <fill>
        <patternFill>
          <bgColor theme="2" tint="-0.24994659260841701"/>
        </patternFill>
      </fill>
    </dxf>
    <dxf>
      <fill>
        <patternFill>
          <bgColor theme="2" tint="-9.9948118533890809E-2"/>
        </patternFill>
      </fill>
    </dxf>
    <dxf>
      <fill>
        <patternFill>
          <bgColor theme="2" tint="-0.24994659260841701"/>
        </patternFill>
      </fill>
    </dxf>
    <dxf>
      <fill>
        <patternFill>
          <bgColor theme="7"/>
        </patternFill>
      </fill>
    </dxf>
    <dxf>
      <font>
        <color auto="1"/>
      </font>
      <fill>
        <patternFill>
          <bgColor rgb="FFFFC7CE"/>
        </patternFill>
      </fill>
    </dxf>
    <dxf>
      <fill>
        <patternFill>
          <bgColor theme="9" tint="0.39994506668294322"/>
        </patternFill>
      </fill>
    </dxf>
    <dxf>
      <font>
        <color auto="1"/>
      </font>
      <fill>
        <patternFill>
          <bgColor rgb="FFFFC7CE"/>
        </patternFill>
      </fill>
    </dxf>
    <dxf>
      <fill>
        <patternFill>
          <bgColor theme="9" tint="0.39994506668294322"/>
        </patternFill>
      </fill>
    </dxf>
    <dxf>
      <font>
        <color auto="1"/>
      </font>
      <fill>
        <patternFill>
          <bgColor rgb="FFFFC7CE"/>
        </patternFill>
      </fill>
    </dxf>
    <dxf>
      <fill>
        <patternFill>
          <bgColor theme="9" tint="0.39994506668294322"/>
        </patternFill>
      </fill>
    </dxf>
    <dxf>
      <font>
        <color auto="1"/>
      </font>
      <fill>
        <patternFill>
          <bgColor rgb="FFFFC7CE"/>
        </patternFill>
      </fill>
    </dxf>
    <dxf>
      <fill>
        <patternFill>
          <bgColor theme="9" tint="0.39994506668294322"/>
        </patternFill>
      </fill>
    </dxf>
    <dxf>
      <font>
        <color auto="1"/>
      </font>
      <fill>
        <patternFill>
          <bgColor rgb="FFFFC7CE"/>
        </patternFill>
      </fill>
    </dxf>
    <dxf>
      <fill>
        <patternFill>
          <bgColor theme="9" tint="0.39994506668294322"/>
        </patternFill>
      </fill>
    </dxf>
    <dxf>
      <font>
        <color auto="1"/>
      </font>
      <fill>
        <patternFill>
          <bgColor rgb="FFFFC7CE"/>
        </patternFill>
      </fill>
    </dxf>
    <dxf>
      <fill>
        <patternFill>
          <bgColor theme="9" tint="0.39994506668294322"/>
        </patternFill>
      </fill>
    </dxf>
    <dxf>
      <font>
        <color auto="1"/>
      </font>
      <fill>
        <patternFill>
          <bgColor rgb="FFFFC7CE"/>
        </patternFill>
      </fill>
    </dxf>
    <dxf>
      <fill>
        <patternFill>
          <bgColor theme="9" tint="0.39994506668294322"/>
        </patternFill>
      </fill>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numFmt numFmtId="0" formatCode="Genera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wrapText="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ill>
        <patternFill>
          <bgColor theme="7"/>
        </patternFill>
      </fill>
    </dxf>
    <dxf>
      <fill>
        <patternFill>
          <bgColor theme="2" tint="-0.24994659260841701"/>
        </patternFill>
      </fill>
    </dxf>
    <dxf>
      <fill>
        <patternFill>
          <bgColor theme="2" tint="-0.24994659260841701"/>
        </patternFill>
      </fill>
    </dxf>
    <dxf>
      <fill>
        <patternFill>
          <bgColor theme="2" tint="-9.9948118533890809E-2"/>
        </patternFill>
      </fill>
    </dxf>
    <dxf>
      <font>
        <color auto="1"/>
      </font>
      <fill>
        <patternFill>
          <bgColor rgb="FFFFC7CE"/>
        </patternFill>
      </fill>
    </dxf>
    <dxf>
      <fill>
        <patternFill>
          <bgColor theme="9" tint="0.39994506668294322"/>
        </patternFill>
      </fill>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wrapText="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ill>
        <patternFill>
          <bgColor theme="7"/>
        </patternFill>
      </fill>
    </dxf>
    <dxf>
      <fill>
        <patternFill>
          <bgColor theme="2" tint="-0.24994659260841701"/>
        </patternFill>
      </fill>
    </dxf>
    <dxf>
      <fill>
        <patternFill>
          <bgColor theme="2" tint="-0.24994659260841701"/>
        </patternFill>
      </fill>
    </dxf>
    <dxf>
      <fill>
        <patternFill>
          <bgColor theme="2" tint="-9.9948118533890809E-2"/>
        </patternFill>
      </fill>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ill>
        <patternFill>
          <bgColor theme="7"/>
        </patternFill>
      </fill>
    </dxf>
    <dxf>
      <fill>
        <patternFill>
          <bgColor theme="2" tint="-0.24994659260841701"/>
        </patternFill>
      </fill>
    </dxf>
    <dxf>
      <fill>
        <patternFill>
          <bgColor theme="2" tint="-0.24994659260841701"/>
        </patternFill>
      </fill>
    </dxf>
    <dxf>
      <fill>
        <patternFill>
          <bgColor theme="2" tint="-9.9948118533890809E-2"/>
        </patternFill>
      </fill>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ill>
        <patternFill>
          <bgColor theme="7"/>
        </patternFill>
      </fill>
    </dxf>
    <dxf>
      <fill>
        <patternFill>
          <bgColor theme="2" tint="-0.24994659260841701"/>
        </patternFill>
      </fill>
    </dxf>
    <dxf>
      <fill>
        <patternFill>
          <bgColor theme="2" tint="-0.24994659260841701"/>
        </patternFill>
      </fill>
    </dxf>
    <dxf>
      <fill>
        <patternFill>
          <bgColor theme="2" tint="-9.9948118533890809E-2"/>
        </patternFill>
      </fill>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wrapText="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ill>
        <patternFill>
          <bgColor theme="7"/>
        </patternFill>
      </fill>
    </dxf>
    <dxf>
      <fill>
        <patternFill>
          <bgColor theme="2" tint="-0.24994659260841701"/>
        </patternFill>
      </fill>
    </dxf>
    <dxf>
      <fill>
        <patternFill>
          <bgColor theme="2" tint="-0.24994659260841701"/>
        </patternFill>
      </fill>
    </dxf>
    <dxf>
      <fill>
        <patternFill>
          <bgColor theme="2" tint="-9.9948118533890809E-2"/>
        </patternFill>
      </fill>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numFmt numFmtId="0" formatCode="Genera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wrapText="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ont>
        <color auto="1"/>
      </font>
      <fill>
        <patternFill>
          <bgColor theme="2" tint="-0.24994659260841701"/>
        </patternFill>
      </fill>
    </dxf>
    <dxf>
      <fill>
        <patternFill>
          <bgColor theme="2" tint="-9.9948118533890809E-2"/>
        </patternFill>
      </fill>
    </dxf>
    <dxf>
      <fill>
        <patternFill>
          <bgColor theme="2" tint="-0.24994659260841701"/>
        </patternFill>
      </fill>
    </dxf>
    <dxf>
      <fill>
        <patternFill>
          <bgColor theme="7"/>
        </patternFill>
      </fill>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numFmt numFmtId="0" formatCode="Genera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wrapText="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ont>
        <color auto="1"/>
      </font>
      <fill>
        <patternFill>
          <bgColor theme="2" tint="-0.24994659260841701"/>
        </patternFill>
      </fill>
    </dxf>
    <dxf>
      <fill>
        <patternFill>
          <bgColor theme="2" tint="-9.9948118533890809E-2"/>
        </patternFill>
      </fill>
    </dxf>
    <dxf>
      <fill>
        <patternFill>
          <bgColor theme="2" tint="-0.24994659260841701"/>
        </patternFill>
      </fill>
    </dxf>
    <dxf>
      <fill>
        <patternFill>
          <bgColor theme="7"/>
        </patternFill>
      </fill>
    </dxf>
    <dxf>
      <font>
        <color auto="1"/>
      </font>
      <fill>
        <patternFill>
          <bgColor rgb="FFFFC7CE"/>
        </patternFill>
      </fill>
    </dxf>
    <dxf>
      <fill>
        <patternFill>
          <bgColor theme="9" tint="0.39994506668294322"/>
        </patternFill>
      </fill>
    </dxf>
    <dxf>
      <font>
        <color auto="1"/>
      </font>
      <fill>
        <patternFill>
          <bgColor rgb="FFFFC7CE"/>
        </patternFill>
      </fill>
    </dxf>
    <dxf>
      <fill>
        <patternFill>
          <bgColor theme="9" tint="0.39994506668294322"/>
        </patternFill>
      </fill>
    </dxf>
    <dxf>
      <font>
        <color auto="1"/>
      </font>
      <fill>
        <patternFill>
          <bgColor rgb="FFFFC7CE"/>
        </patternFill>
      </fill>
    </dxf>
    <dxf>
      <fill>
        <patternFill>
          <bgColor theme="9" tint="0.39994506668294322"/>
        </patternFill>
      </fill>
    </dxf>
    <dxf>
      <font>
        <color auto="1"/>
      </font>
      <fill>
        <patternFill>
          <bgColor rgb="FFFFC7CE"/>
        </patternFill>
      </fill>
    </dxf>
    <dxf>
      <fill>
        <patternFill>
          <bgColor theme="9" tint="0.39994506668294322"/>
        </patternFill>
      </fill>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numFmt numFmtId="0" formatCode="General"/>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ont>
        <color auto="1"/>
      </font>
      <fill>
        <patternFill>
          <bgColor theme="2" tint="-0.24994659260841701"/>
        </patternFill>
      </fill>
    </dxf>
    <dxf>
      <fill>
        <patternFill>
          <bgColor theme="2" tint="-9.9948118533890809E-2"/>
        </patternFill>
      </fill>
    </dxf>
    <dxf>
      <fill>
        <patternFill>
          <bgColor theme="2" tint="-0.24994659260841701"/>
        </patternFill>
      </fill>
    </dxf>
    <dxf>
      <fill>
        <patternFill>
          <bgColor theme="7"/>
        </patternFill>
      </fill>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numFmt numFmtId="0" formatCode="General"/>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numFmt numFmtId="0" formatCode="General"/>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ont>
        <color auto="1"/>
      </font>
      <fill>
        <patternFill>
          <bgColor theme="2" tint="-0.24994659260841701"/>
        </patternFill>
      </fill>
    </dxf>
    <dxf>
      <fill>
        <patternFill>
          <bgColor theme="2" tint="-9.9948118533890809E-2"/>
        </patternFill>
      </fill>
    </dxf>
    <dxf>
      <fill>
        <patternFill>
          <bgColor theme="2" tint="-0.24994659260841701"/>
        </patternFill>
      </fill>
    </dxf>
    <dxf>
      <fill>
        <patternFill>
          <bgColor theme="7"/>
        </patternFill>
      </fill>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numFmt numFmtId="0" formatCode="General"/>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numFmt numFmtId="0" formatCode="General"/>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ont>
        <color auto="1"/>
      </font>
      <fill>
        <patternFill>
          <bgColor theme="2" tint="-0.24994659260841701"/>
        </patternFill>
      </fill>
    </dxf>
    <dxf>
      <fill>
        <patternFill>
          <bgColor theme="2" tint="-0.24994659260841701"/>
        </patternFill>
      </fill>
    </dxf>
    <dxf>
      <fill>
        <patternFill>
          <bgColor theme="7"/>
        </patternFill>
      </fill>
    </dxf>
    <dxf>
      <fill>
        <patternFill>
          <bgColor theme="2" tint="-9.9948118533890809E-2"/>
        </patternFill>
      </fill>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numFmt numFmtId="0" formatCode="General"/>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numFmt numFmtId="0" formatCode="Genera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numFmt numFmtId="0" formatCode="Genera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wrapText="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ill>
        <patternFill>
          <bgColor theme="7"/>
        </patternFill>
      </fill>
    </dxf>
    <dxf>
      <fill>
        <patternFill>
          <bgColor theme="2" tint="-9.9948118533890809E-2"/>
        </patternFill>
      </fill>
    </dxf>
    <dxf>
      <fill>
        <patternFill>
          <bgColor theme="2" tint="-0.24994659260841701"/>
        </patternFill>
      </fill>
    </dxf>
    <dxf>
      <fill>
        <patternFill>
          <bgColor theme="2" tint="-0.24994659260841701"/>
        </patternFill>
      </fill>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numFmt numFmtId="0" formatCode="General"/>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numFmt numFmtId="0" formatCode="Genera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numFmt numFmtId="0" formatCode="Genera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theme="7"/>
        </patternFill>
      </fill>
    </dxf>
    <dxf>
      <font>
        <color auto="1"/>
      </font>
      <fill>
        <patternFill>
          <bgColor theme="2" tint="-9.9948118533890809E-2"/>
        </patternFill>
      </fill>
    </dxf>
    <dxf>
      <fill>
        <patternFill>
          <bgColor theme="2" tint="-0.24994659260841701"/>
        </patternFill>
      </fill>
    </dxf>
    <dxf>
      <fill>
        <patternFill>
          <bgColor theme="2" tint="-0.24994659260841701"/>
        </patternFill>
      </fill>
    </dxf>
    <dxf>
      <font>
        <color auto="1"/>
      </font>
      <fill>
        <patternFill>
          <bgColor rgb="FFFFC7CE"/>
        </patternFill>
      </fill>
    </dxf>
    <dxf>
      <fill>
        <patternFill>
          <bgColor theme="9" tint="0.39994506668294322"/>
        </patternFill>
      </fill>
    </dxf>
    <dxf>
      <font>
        <color auto="1"/>
      </font>
      <fill>
        <patternFill>
          <bgColor rgb="FFFFC7CE"/>
        </patternFill>
      </fill>
    </dxf>
    <dxf>
      <fill>
        <patternFill>
          <bgColor theme="9" tint="0.39994506668294322"/>
        </patternFill>
      </fill>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numFmt numFmtId="0" formatCode="General"/>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numFmt numFmtId="0" formatCode="General"/>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strike val="0"/>
        <outline val="0"/>
        <shadow val="0"/>
        <u val="none"/>
        <vertAlign val="baseline"/>
        <sz val="11"/>
        <color auto="1"/>
        <name val="Calibri"/>
        <scheme val="minor"/>
      </font>
      <alignment vertical="center" textRotation="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auto="1"/>
      </font>
      <fill>
        <patternFill>
          <bgColor rgb="FFFFC7CE"/>
        </patternFill>
      </fill>
    </dxf>
    <dxf>
      <fill>
        <patternFill>
          <bgColor theme="9" tint="0.39994506668294322"/>
        </patternFill>
      </fill>
    </dxf>
    <dxf>
      <font>
        <color auto="1"/>
      </font>
      <fill>
        <patternFill>
          <bgColor theme="7"/>
        </patternFill>
      </fill>
    </dxf>
    <dxf>
      <font>
        <color auto="1"/>
      </font>
      <fill>
        <patternFill>
          <bgColor theme="2" tint="-9.9948118533890809E-2"/>
        </patternFill>
      </fill>
    </dxf>
    <dxf>
      <font>
        <color auto="1"/>
      </font>
      <fill>
        <patternFill>
          <bgColor theme="2" tint="-0.24994659260841701"/>
        </patternFill>
      </fill>
    </dxf>
    <dxf>
      <font>
        <color auto="1"/>
      </font>
      <fill>
        <patternFill>
          <bgColor theme="2" tint="-0.24994659260841701"/>
        </patternFill>
      </fill>
    </dxf>
    <dxf>
      <font>
        <strike val="0"/>
        <outline val="0"/>
        <shadow val="0"/>
        <u val="none"/>
        <vertAlign val="baseline"/>
        <sz val="11"/>
        <color auto="1"/>
        <name val="Calibri"/>
        <scheme val="minor"/>
      </font>
      <numFmt numFmtId="0" formatCode="General"/>
      <alignment vertical="center" textRotation="0" indent="0" justifyLastLine="0" shrinkToFit="0" readingOrder="0"/>
      <border diagonalUp="0" diagonalDown="0">
        <left style="thin">
          <color indexed="64"/>
        </left>
        <right/>
        <top style="thin">
          <color indexed="64"/>
        </top>
        <bottom style="thin">
          <color indexed="64"/>
        </bottom>
      </border>
      <protection locked="0" hidden="0"/>
    </dxf>
    <dxf>
      <font>
        <strike val="0"/>
        <outline val="0"/>
        <shadow val="0"/>
        <u val="none"/>
        <vertAlign val="baseline"/>
        <sz val="11"/>
        <color auto="1"/>
        <name val="Calibri"/>
        <scheme val="minor"/>
      </font>
      <numFmt numFmtId="0" formatCode="General"/>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1"/>
        <color auto="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vertical="center" textRotation="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strike val="0"/>
        <outline val="0"/>
        <shadow val="0"/>
        <u val="none"/>
        <vertAlign val="baseline"/>
        <sz val="11"/>
        <color auto="1"/>
        <name val="Calibri"/>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border>
      <protection locked="1" hidden="0"/>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strike val="0"/>
        <outline val="0"/>
        <shadow val="0"/>
        <u val="none"/>
        <vertAlign val="baseline"/>
        <sz val="11"/>
        <color auto="1"/>
        <name val="Calibri"/>
        <scheme val="none"/>
      </font>
      <alignment vertical="center" textRotation="0" indent="0" justifyLastLine="0" shrinkToFit="0" readingOrder="0"/>
      <protection locked="0" hidden="0"/>
    </dxf>
    <dxf>
      <font>
        <b/>
        <i val="0"/>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center" textRotation="0" wrapText="1" indent="0" justifyLastLine="0" shrinkToFit="0" readingOrder="0"/>
      <border diagonalUp="0" diagonalDown="0">
        <left style="thin">
          <color indexed="64"/>
        </left>
        <right style="thin">
          <color indexed="64"/>
        </right>
        <top/>
        <bottom/>
      </border>
      <protection locked="0" hidden="0"/>
    </dxf>
    <dxf>
      <font>
        <color rgb="FF9C0006"/>
      </font>
      <fill>
        <patternFill>
          <bgColor rgb="FFFFC7CE"/>
        </patternFill>
      </fill>
    </dxf>
    <dxf>
      <font>
        <color auto="1"/>
      </font>
      <fill>
        <patternFill>
          <bgColor rgb="FFFFC7CE"/>
        </patternFill>
      </fill>
    </dxf>
    <dxf>
      <fill>
        <patternFill>
          <bgColor theme="9" tint="0.39994506668294322"/>
        </patternFill>
      </fill>
    </dxf>
    <dxf>
      <fill>
        <patternFill>
          <bgColor theme="7"/>
        </patternFill>
      </fill>
    </dxf>
    <dxf>
      <font>
        <color auto="1"/>
      </font>
      <fill>
        <patternFill>
          <bgColor theme="2" tint="-9.9948118533890809E-2"/>
        </patternFill>
      </fill>
    </dxf>
    <dxf>
      <font>
        <color auto="1"/>
      </font>
      <fill>
        <patternFill>
          <bgColor theme="2" tint="-0.24994659260841701"/>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0000000}" name="Table1617" displayName="Table1617" ref="B14:S187" totalsRowShown="0" headerRowDxfId="442" dataDxfId="441" headerRowBorderDxfId="439" tableBorderDxfId="440" totalsRowBorderDxfId="438">
  <tableColumns count="18">
    <tableColumn id="1" xr3:uid="{00000000-0010-0000-0000-000001000000}" name="S/N" dataDxfId="437"/>
    <tableColumn id="2" xr3:uid="{00000000-0010-0000-0000-000002000000}" name="Candidate" dataDxfId="436"/>
    <tableColumn id="3" xr3:uid="{00000000-0010-0000-0000-000003000000}" name="Nationality _x000a_(Singapore/SPR)" dataDxfId="435"/>
    <tableColumn id="17" xr3:uid="{00000000-0010-0000-0000-000011000000}" name="Email Address" dataDxfId="434"/>
    <tableColumn id="4" xr3:uid="{00000000-0010-0000-0000-000004000000}" name="Contact Number" dataDxfId="433"/>
    <tableColumn id="5" xr3:uid="{00000000-0010-0000-0000-000005000000}" name="TA on Duty" dataDxfId="432"/>
    <tableColumn id="14" xr3:uid="{00000000-0010-0000-0000-00000E000000}" name="Graduation Year" dataDxfId="431"/>
    <tableColumn id="16" xr3:uid="{00000000-0010-0000-0000-000010000000}" name="Highest Qualification" dataDxfId="430"/>
    <tableColumn id="15" xr3:uid="{00000000-0010-0000-0000-00000F000000}" name="Course of Study" dataDxfId="429"/>
    <tableColumn id="18" xr3:uid="{00000000-0010-0000-0000-000012000000}" name="LinkedIn Pofile/Resume/Portfolio" dataDxfId="428"/>
    <tableColumn id="6" xr3:uid="{00000000-0010-0000-0000-000006000000}" name="Role - 1st choice" dataDxfId="427"/>
    <tableColumn id="7" xr3:uid="{00000000-0010-0000-0000-000007000000}" name="Role - 2nd choice" dataDxfId="426"/>
    <tableColumn id="8" xr3:uid="{00000000-0010-0000-0000-000008000000}" name="Role - 3rd choice" dataDxfId="425"/>
    <tableColumn id="9" xr3:uid="{00000000-0010-0000-0000-000009000000}" name="Notice period/ availbility" dataDxfId="424"/>
    <tableColumn id="10" xr3:uid="{00000000-0010-0000-0000-00000A000000}" name="TA Followup Action_x000a_* AE = Actual Event_x000a_PE = Post Event" dataDxfId="423"/>
    <tableColumn id="11" xr3:uid="{00000000-0010-0000-0000-00000B000000}" name="Remarks _x000a_for Followup Action" dataDxfId="422"/>
    <tableColumn id="12" xr3:uid="{00000000-0010-0000-0000-00000C000000}" name="Interview Date &amp; Time" dataDxfId="421"/>
    <tableColumn id="13" xr3:uid="{00000000-0010-0000-0000-00000D000000}" name="Join Date" dataDxfId="420"/>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 displayName="Table1" ref="B9:P31" totalsRowShown="0" headerRowDxfId="413" dataDxfId="412" headerRowBorderDxfId="410" tableBorderDxfId="411" totalsRowBorderDxfId="409">
  <tableColumns count="15">
    <tableColumn id="1" xr3:uid="{00000000-0010-0000-0100-000001000000}" name="S/N" dataDxfId="408"/>
    <tableColumn id="2" xr3:uid="{00000000-0010-0000-0100-000002000000}" name="Candidate" dataDxfId="407"/>
    <tableColumn id="3" xr3:uid="{00000000-0010-0000-0100-000003000000}" name=" " dataDxfId="406"/>
    <tableColumn id="14" xr3:uid="{00000000-0010-0000-0100-00000E000000}" name="Email Address" dataDxfId="405"/>
    <tableColumn id="4" xr3:uid="{00000000-0010-0000-0100-000004000000}" name="Contact Number" dataDxfId="404"/>
    <tableColumn id="15" xr3:uid="{00000000-0010-0000-0100-00000F000000}" name="LinkedIn Pofile/Resume/Portfolio" dataDxfId="403"/>
    <tableColumn id="5" xr3:uid="{00000000-0010-0000-0100-000005000000}" name="TA on Duty" dataDxfId="402"/>
    <tableColumn id="6" xr3:uid="{00000000-0010-0000-0100-000006000000}" name="Clear Screening Questions_x000a_(Yes/No)" dataDxfId="401"/>
    <tableColumn id="7" xr3:uid="{00000000-0010-0000-0100-000007000000}" name="Current drawn salary" dataDxfId="400"/>
    <tableColumn id="8" xr3:uid="{00000000-0010-0000-0100-000008000000}" name="Expected salary" dataDxfId="399"/>
    <tableColumn id="9" xr3:uid="{00000000-0010-0000-0100-000009000000}" name="Notice Period/Availability" dataDxfId="398"/>
    <tableColumn id="10" xr3:uid="{00000000-0010-0000-0100-00000A000000}" name="TA Followup Action_x000a_* AE = Actual Event_x000a_PE = Post Event" dataDxfId="397"/>
    <tableColumn id="11" xr3:uid="{00000000-0010-0000-0100-00000B000000}" name="Remarks _x000a_for Followup Action" dataDxfId="396"/>
    <tableColumn id="12" xr3:uid="{00000000-0010-0000-0100-00000C000000}" name="Interview Date &amp; Time" dataDxfId="395"/>
    <tableColumn id="13" xr3:uid="{00000000-0010-0000-0100-00000D000000}" name="Join Date" dataDxfId="394"/>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2" displayName="Table2" ref="B9:P19" totalsRowShown="0" headerRowDxfId="385" dataDxfId="384" headerRowBorderDxfId="382" tableBorderDxfId="383" totalsRowBorderDxfId="381">
  <tableColumns count="15">
    <tableColumn id="1" xr3:uid="{00000000-0010-0000-0200-000001000000}" name="S/N" dataDxfId="380"/>
    <tableColumn id="2" xr3:uid="{00000000-0010-0000-0200-000002000000}" name="Candidate" dataDxfId="379"/>
    <tableColumn id="3" xr3:uid="{00000000-0010-0000-0200-000003000000}" name="Nationality (Singapore/SPR)" dataDxfId="378"/>
    <tableColumn id="14" xr3:uid="{00000000-0010-0000-0200-00000E000000}" name="Email Address" dataDxfId="377"/>
    <tableColumn id="4" xr3:uid="{00000000-0010-0000-0200-000004000000}" name="Contact Number" dataDxfId="376"/>
    <tableColumn id="15" xr3:uid="{00000000-0010-0000-0200-00000F000000}" name="LinkedIn Pofile/Resume/Portfolio" dataDxfId="375"/>
    <tableColumn id="5" xr3:uid="{00000000-0010-0000-0200-000005000000}" name="TA on Duty" dataDxfId="374"/>
    <tableColumn id="6" xr3:uid="{00000000-0010-0000-0200-000006000000}" name="Clear Screening Questions_x000a_(Yes/No)" dataDxfId="373"/>
    <tableColumn id="7" xr3:uid="{00000000-0010-0000-0200-000007000000}" name="Current drawn salary" dataDxfId="372"/>
    <tableColumn id="8" xr3:uid="{00000000-0010-0000-0200-000008000000}" name="Expected salary" dataDxfId="371"/>
    <tableColumn id="9" xr3:uid="{00000000-0010-0000-0200-000009000000}" name="Notice Period/Availability" dataDxfId="370"/>
    <tableColumn id="10" xr3:uid="{00000000-0010-0000-0200-00000A000000}" name="TA Followup Action_x000a_* AE = Actual Event_x000a_PE = Post Event" dataDxfId="369"/>
    <tableColumn id="11" xr3:uid="{00000000-0010-0000-0200-00000B000000}" name="Remarks _x000a_for Followup Action" dataDxfId="368"/>
    <tableColumn id="12" xr3:uid="{00000000-0010-0000-0200-00000C000000}" name="Interview Date &amp; Time" dataDxfId="367"/>
    <tableColumn id="13" xr3:uid="{00000000-0010-0000-0200-00000D000000}" name="Join Date" dataDxfId="366"/>
  </tableColumns>
  <tableStyleInfo name="TableStyleLight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3" displayName="Table3" ref="B9:P15" totalsRowShown="0" headerRowDxfId="359" dataDxfId="358" headerRowBorderDxfId="356" tableBorderDxfId="357" totalsRowBorderDxfId="355">
  <tableColumns count="15">
    <tableColumn id="1" xr3:uid="{00000000-0010-0000-0300-000001000000}" name="S/N" dataDxfId="354"/>
    <tableColumn id="2" xr3:uid="{00000000-0010-0000-0300-000002000000}" name="Candidate" dataDxfId="353"/>
    <tableColumn id="3" xr3:uid="{00000000-0010-0000-0300-000003000000}" name="Nationality (Singapore/SPR)" dataDxfId="352"/>
    <tableColumn id="14" xr3:uid="{00000000-0010-0000-0300-00000E000000}" name="Email Address" dataDxfId="351"/>
    <tableColumn id="4" xr3:uid="{00000000-0010-0000-0300-000004000000}" name="Contact Number" dataDxfId="350"/>
    <tableColumn id="15" xr3:uid="{00000000-0010-0000-0300-00000F000000}" name="LinkedIn Pofile/Resume/Portfolio" dataDxfId="349"/>
    <tableColumn id="5" xr3:uid="{00000000-0010-0000-0300-000005000000}" name="TA on Duty" dataDxfId="348"/>
    <tableColumn id="6" xr3:uid="{00000000-0010-0000-0300-000006000000}" name="Clear Screening Questions_x000a_(Yes/No)" dataDxfId="347"/>
    <tableColumn id="7" xr3:uid="{00000000-0010-0000-0300-000007000000}" name="Current drawn salary" dataDxfId="346"/>
    <tableColumn id="8" xr3:uid="{00000000-0010-0000-0300-000008000000}" name="Expected salary" dataDxfId="345"/>
    <tableColumn id="9" xr3:uid="{00000000-0010-0000-0300-000009000000}" name="Notice Period/Availability" dataDxfId="344"/>
    <tableColumn id="10" xr3:uid="{00000000-0010-0000-0300-00000A000000}" name="TA Followup Action_x000a_* AE = Actual Event_x000a_PE = Post Event" dataDxfId="343"/>
    <tableColumn id="11" xr3:uid="{00000000-0010-0000-0300-00000B000000}" name="Remarks _x000a_for Followup Action" dataDxfId="342"/>
    <tableColumn id="12" xr3:uid="{00000000-0010-0000-0300-00000C000000}" name="Interview Date &amp; Time" dataDxfId="341"/>
    <tableColumn id="13" xr3:uid="{00000000-0010-0000-0300-00000D000000}" name="Join Date" dataDxfId="340"/>
  </tableColumns>
  <tableStyleInfo name="TableStyleLight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4234" displayName="Table4234" ref="B9:P13" totalsRowShown="0" headerRowDxfId="333" dataDxfId="332" headerRowBorderDxfId="330" tableBorderDxfId="331" totalsRowBorderDxfId="329">
  <tableColumns count="15">
    <tableColumn id="1" xr3:uid="{00000000-0010-0000-0400-000001000000}" name="S/N" dataDxfId="328"/>
    <tableColumn id="2" xr3:uid="{00000000-0010-0000-0400-000002000000}" name="Candidate" dataDxfId="327">
      <calculatedColumnFormula>PROPER(Table4234[[#This Row],[Current drawn salary]])</calculatedColumnFormula>
    </tableColumn>
    <tableColumn id="3" xr3:uid="{00000000-0010-0000-0400-000003000000}" name="Nationality (Singapore/SPR)" dataDxfId="326"/>
    <tableColumn id="14" xr3:uid="{00000000-0010-0000-0400-00000E000000}" name="Email Address" dataDxfId="325"/>
    <tableColumn id="4" xr3:uid="{00000000-0010-0000-0400-000004000000}" name="Contact Number" dataDxfId="324">
      <calculatedColumnFormula>RIGHT(Table4234[[#This Row],[Current drawn salary]],8)</calculatedColumnFormula>
    </tableColumn>
    <tableColumn id="15" xr3:uid="{00000000-0010-0000-0400-00000F000000}" name="LinkedIn Pofile/Resume/Portfolio" dataDxfId="323"/>
    <tableColumn id="5" xr3:uid="{00000000-0010-0000-0400-000005000000}" name="TA on Duty" dataDxfId="322"/>
    <tableColumn id="6" xr3:uid="{00000000-0010-0000-0400-000006000000}" name="Clear Screening Questions_x000a_(Yes/No)" dataDxfId="321"/>
    <tableColumn id="7" xr3:uid="{00000000-0010-0000-0400-000007000000}" name="Current drawn salary" dataDxfId="320"/>
    <tableColumn id="8" xr3:uid="{00000000-0010-0000-0400-000008000000}" name="Expected salary" dataDxfId="319"/>
    <tableColumn id="9" xr3:uid="{00000000-0010-0000-0400-000009000000}" name="Notice Period/Availability" dataDxfId="318"/>
    <tableColumn id="10" xr3:uid="{00000000-0010-0000-0400-00000A000000}" name="TA Followup Action_x000a_* AE = Actual Event_x000a_PE = Post Event" dataDxfId="317"/>
    <tableColumn id="11" xr3:uid="{00000000-0010-0000-0400-00000B000000}" name="Remarks _x000a_for Followup Action" dataDxfId="316"/>
    <tableColumn id="12" xr3:uid="{00000000-0010-0000-0400-00000C000000}" name="Interview Date &amp; Time" dataDxfId="315"/>
    <tableColumn id="13" xr3:uid="{00000000-0010-0000-0400-00000D000000}" name="Join Date" dataDxfId="314"/>
  </tableColumns>
  <tableStyleInfo name="TableStyleLight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Table5" displayName="Table5" ref="B9:Q14" totalsRowShown="0" headerRowDxfId="307" dataDxfId="306" headerRowBorderDxfId="304" tableBorderDxfId="305" totalsRowBorderDxfId="303">
  <tableColumns count="16">
    <tableColumn id="1" xr3:uid="{00000000-0010-0000-0500-000001000000}" name="S/N" dataDxfId="302"/>
    <tableColumn id="2" xr3:uid="{00000000-0010-0000-0500-000002000000}" name="Candidate" dataDxfId="301">
      <calculatedColumnFormula>PROPER(Table5[[#This Row],[Current drawn salary]])</calculatedColumnFormula>
    </tableColumn>
    <tableColumn id="3" xr3:uid="{00000000-0010-0000-0500-000003000000}" name="Nationality (Singapore/SPR)" dataDxfId="300"/>
    <tableColumn id="14" xr3:uid="{00000000-0010-0000-0500-00000E000000}" name="Email Address" dataDxfId="299"/>
    <tableColumn id="4" xr3:uid="{00000000-0010-0000-0500-000004000000}" name="Contact Number" dataDxfId="298">
      <calculatedColumnFormula>RIGHT(Table5[[#This Row],[Current drawn salary]],8)</calculatedColumnFormula>
    </tableColumn>
    <tableColumn id="15" xr3:uid="{00000000-0010-0000-0500-00000F000000}" name="LinkedIn Pofile/Resume/Portfolio" dataDxfId="297"/>
    <tableColumn id="5" xr3:uid="{00000000-0010-0000-0500-000005000000}" name="TA on Duty" dataDxfId="296"/>
    <tableColumn id="6" xr3:uid="{00000000-0010-0000-0500-000006000000}" name="Clear Screening Questions_x000a_(Yes/No)" dataDxfId="295"/>
    <tableColumn id="7" xr3:uid="{00000000-0010-0000-0500-000007000000}" name="Current drawn salary" dataDxfId="294"/>
    <tableColumn id="8" xr3:uid="{00000000-0010-0000-0500-000008000000}" name="Expected salary" dataDxfId="293"/>
    <tableColumn id="9" xr3:uid="{00000000-0010-0000-0500-000009000000}" name="Notice Period/Availability" dataDxfId="292"/>
    <tableColumn id="10" xr3:uid="{00000000-0010-0000-0500-00000A000000}" name="TA Followup Action_x000a_* AE = Actual Event_x000a_PE = Post Event" dataDxfId="291"/>
    <tableColumn id="11" xr3:uid="{00000000-0010-0000-0500-00000B000000}" name="Remarks _x000a_for Followup Action" dataDxfId="290"/>
    <tableColumn id="12" xr3:uid="{00000000-0010-0000-0500-00000C000000}" name="Interview Date &amp; Time" dataDxfId="289"/>
    <tableColumn id="13" xr3:uid="{00000000-0010-0000-0500-00000D000000}" name="Join Date" dataDxfId="288"/>
    <tableColumn id="16" xr3:uid="{00000000-0010-0000-0500-000010000000}" name="Screening Information" dataDxfId="287"/>
  </tableColumns>
  <tableStyleInfo name="TableStyleLight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le6" displayName="Table6" ref="B9:P11" totalsRowShown="0" headerRowDxfId="280" dataDxfId="279" headerRowBorderDxfId="277" tableBorderDxfId="278" totalsRowBorderDxfId="276">
  <tableColumns count="15">
    <tableColumn id="1" xr3:uid="{00000000-0010-0000-0600-000001000000}" name="S/N" dataDxfId="275"/>
    <tableColumn id="2" xr3:uid="{00000000-0010-0000-0600-000002000000}" name="Candidate" dataDxfId="274"/>
    <tableColumn id="3" xr3:uid="{00000000-0010-0000-0600-000003000000}" name="Nationality (Singapore/SPR)" dataDxfId="273"/>
    <tableColumn id="14" xr3:uid="{00000000-0010-0000-0600-00000E000000}" name="Email Address" dataDxfId="272"/>
    <tableColumn id="4" xr3:uid="{00000000-0010-0000-0600-000004000000}" name="Contact Number" dataDxfId="271">
      <calculatedColumnFormula>RIGHT(J11,8)</calculatedColumnFormula>
    </tableColumn>
    <tableColumn id="15" xr3:uid="{00000000-0010-0000-0600-00000F000000}" name="LinkedIn Pofile/Resume/Portfolio" dataDxfId="270"/>
    <tableColumn id="5" xr3:uid="{00000000-0010-0000-0600-000005000000}" name="TA on Duty" dataDxfId="269"/>
    <tableColumn id="6" xr3:uid="{00000000-0010-0000-0600-000006000000}" name="Clear Screening Questions_x000a_(Yes/No)" dataDxfId="268"/>
    <tableColumn id="7" xr3:uid="{00000000-0010-0000-0600-000007000000}" name="Current drawn salary" dataDxfId="267"/>
    <tableColumn id="8" xr3:uid="{00000000-0010-0000-0600-000008000000}" name="Expected salary" dataDxfId="266"/>
    <tableColumn id="9" xr3:uid="{00000000-0010-0000-0600-000009000000}" name="Notice Period/Availability" dataDxfId="265"/>
    <tableColumn id="10" xr3:uid="{00000000-0010-0000-0600-00000A000000}" name="TA Followup Action_x000a_* AE = Actual Event_x000a_PE = Post Event" dataDxfId="264"/>
    <tableColumn id="11" xr3:uid="{00000000-0010-0000-0600-00000B000000}" name="Remarks _x000a_for Followup Action" dataDxfId="263"/>
    <tableColumn id="12" xr3:uid="{00000000-0010-0000-0600-00000C000000}" name="Interview Date &amp; Time" dataDxfId="262"/>
    <tableColumn id="13" xr3:uid="{00000000-0010-0000-0600-00000D000000}" name="Join Date" dataDxfId="261"/>
  </tableColumns>
  <tableStyleInfo name="TableStyleLight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le7" displayName="Table7" ref="B9:Q16" totalsRowShown="0" headerRowDxfId="246" dataDxfId="245" headerRowBorderDxfId="243" tableBorderDxfId="244" totalsRowBorderDxfId="242">
  <tableColumns count="16">
    <tableColumn id="1" xr3:uid="{00000000-0010-0000-0700-000001000000}" name="S/N" dataDxfId="241"/>
    <tableColumn id="2" xr3:uid="{00000000-0010-0000-0700-000002000000}" name="Candidate" dataDxfId="240"/>
    <tableColumn id="3" xr3:uid="{00000000-0010-0000-0700-000003000000}" name="Nationality (Singapore/SPR)" dataDxfId="239"/>
    <tableColumn id="16" xr3:uid="{00000000-0010-0000-0700-000010000000}" name="Email Address" dataDxfId="238"/>
    <tableColumn id="4" xr3:uid="{00000000-0010-0000-0700-000004000000}" name="Contact Number" dataDxfId="237"/>
    <tableColumn id="17" xr3:uid="{00000000-0010-0000-0700-000011000000}" name="LinkedIn Pofile/Resume/Portfolio" dataDxfId="236"/>
    <tableColumn id="5" xr3:uid="{00000000-0010-0000-0700-000005000000}" name="TA on Duty" dataDxfId="235"/>
    <tableColumn id="6" xr3:uid="{00000000-0010-0000-0700-000006000000}" name="Clear Screening Questions_x000a_(Yes/No)" dataDxfId="234"/>
    <tableColumn id="7" xr3:uid="{00000000-0010-0000-0700-000007000000}" name="Current drawn salary" dataDxfId="233"/>
    <tableColumn id="8" xr3:uid="{00000000-0010-0000-0700-000008000000}" name="Expected salary" dataDxfId="232"/>
    <tableColumn id="9" xr3:uid="{00000000-0010-0000-0700-000009000000}" name="Notice Period/Availability" dataDxfId="231"/>
    <tableColumn id="10" xr3:uid="{00000000-0010-0000-0700-00000A000000}" name="TA Followup Action_x000a_* AE = Actual Event_x000a_PE = Post Event" dataDxfId="230"/>
    <tableColumn id="11" xr3:uid="{00000000-0010-0000-0700-00000B000000}" name="Remarks _x000a_for Followup Action" dataDxfId="229"/>
    <tableColumn id="12" xr3:uid="{00000000-0010-0000-0700-00000C000000}" name="Interview Date &amp; Time" dataDxfId="228"/>
    <tableColumn id="13" xr3:uid="{00000000-0010-0000-0700-00000D000000}" name="Join Date" dataDxfId="227"/>
    <tableColumn id="14" xr3:uid="{00000000-0010-0000-0700-00000E000000}" name="Screening Information" dataDxfId="226"/>
  </tableColumns>
  <tableStyleInfo name="TableStyleLight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le8" displayName="Table8" ref="B9:P21" totalsRowShown="0" headerRowDxfId="219" dataDxfId="218" headerRowBorderDxfId="216" tableBorderDxfId="217" totalsRowBorderDxfId="215">
  <tableColumns count="15">
    <tableColumn id="1" xr3:uid="{00000000-0010-0000-0800-000001000000}" name="S/N" dataDxfId="214"/>
    <tableColumn id="2" xr3:uid="{00000000-0010-0000-0800-000002000000}" name="Candidate" dataDxfId="213"/>
    <tableColumn id="3" xr3:uid="{00000000-0010-0000-0800-000003000000}" name="Nationality (Singapore/SPR)" dataDxfId="212"/>
    <tableColumn id="14" xr3:uid="{00000000-0010-0000-0800-00000E000000}" name="Email Address" dataDxfId="211"/>
    <tableColumn id="4" xr3:uid="{00000000-0010-0000-0800-000004000000}" name="Contact Number" dataDxfId="210"/>
    <tableColumn id="15" xr3:uid="{00000000-0010-0000-0800-00000F000000}" name="LinkedIn Pofile/Resume/Portfolio" dataDxfId="209"/>
    <tableColumn id="5" xr3:uid="{00000000-0010-0000-0800-000005000000}" name="TA on Duty" dataDxfId="208"/>
    <tableColumn id="6" xr3:uid="{00000000-0010-0000-0800-000006000000}" name="Clear Screening Questions_x000a_(Yes/No)" dataDxfId="207"/>
    <tableColumn id="7" xr3:uid="{00000000-0010-0000-0800-000007000000}" name="Current drawn salary" dataDxfId="206"/>
    <tableColumn id="8" xr3:uid="{00000000-0010-0000-0800-000008000000}" name="Expected salary" dataDxfId="205"/>
    <tableColumn id="9" xr3:uid="{00000000-0010-0000-0800-000009000000}" name="Notice Period/Availability" dataDxfId="204"/>
    <tableColumn id="10" xr3:uid="{00000000-0010-0000-0800-00000A000000}" name="TA Followup Action_x000a_* AE = Actual Event_x000a_PE = Post Event" dataDxfId="203"/>
    <tableColumn id="11" xr3:uid="{00000000-0010-0000-0800-00000B000000}" name="Remarks _x000a_for Followup Action" dataDxfId="202"/>
    <tableColumn id="12" xr3:uid="{00000000-0010-0000-0800-00000C000000}" name="Interview Date &amp; Time" dataDxfId="201"/>
    <tableColumn id="13" xr3:uid="{00000000-0010-0000-0800-00000D000000}" name="Join Date" dataDxfId="200"/>
  </tableColumns>
  <tableStyleInfo name="TableStyleLight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9000000}" name="Table9" displayName="Table9" ref="B9:P11" totalsRowShown="0" headerRowDxfId="193" dataDxfId="192" headerRowBorderDxfId="190" tableBorderDxfId="191" totalsRowBorderDxfId="189">
  <tableColumns count="15">
    <tableColumn id="1" xr3:uid="{00000000-0010-0000-0900-000001000000}" name="S/N" dataDxfId="188"/>
    <tableColumn id="2" xr3:uid="{00000000-0010-0000-0900-000002000000}" name="Candidate" dataDxfId="187"/>
    <tableColumn id="3" xr3:uid="{00000000-0010-0000-0900-000003000000}" name="Nationality (Singapore/SPR)" dataDxfId="186"/>
    <tableColumn id="14" xr3:uid="{00000000-0010-0000-0900-00000E000000}" name="Email Address" dataDxfId="185"/>
    <tableColumn id="4" xr3:uid="{00000000-0010-0000-0900-000004000000}" name="Contact Number" dataDxfId="184"/>
    <tableColumn id="15" xr3:uid="{00000000-0010-0000-0900-00000F000000}" name="LinkedIn Pofile/Resume/Portfolio" dataDxfId="183"/>
    <tableColumn id="5" xr3:uid="{00000000-0010-0000-0900-000005000000}" name="TA on Duty" dataDxfId="182"/>
    <tableColumn id="6" xr3:uid="{00000000-0010-0000-0900-000006000000}" name="Clear Screening Questions_x000a_(Yes/No)" dataDxfId="181"/>
    <tableColumn id="7" xr3:uid="{00000000-0010-0000-0900-000007000000}" name="Current drawn salary" dataDxfId="180"/>
    <tableColumn id="8" xr3:uid="{00000000-0010-0000-0900-000008000000}" name="Expected salary" dataDxfId="179"/>
    <tableColumn id="9" xr3:uid="{00000000-0010-0000-0900-000009000000}" name="Notice Period/Availability" dataDxfId="178"/>
    <tableColumn id="10" xr3:uid="{00000000-0010-0000-0900-00000A000000}" name="TA Followup Action_x000a_* AE = Actual Event_x000a_PE = Post Event" dataDxfId="177"/>
    <tableColumn id="11" xr3:uid="{00000000-0010-0000-0900-00000B000000}" name="Remarks _x000a_for Followup Action" dataDxfId="176"/>
    <tableColumn id="12" xr3:uid="{00000000-0010-0000-0900-00000C000000}" name="Interview Date &amp; Time" dataDxfId="175"/>
    <tableColumn id="13" xr3:uid="{00000000-0010-0000-0900-00000D000000}" name="Join Date" dataDxfId="174"/>
  </tableColumns>
  <tableStyleInfo name="TableStyleLight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A000000}" name="Table10" displayName="Table10" ref="B9:P13" totalsRowShown="0" headerRowDxfId="167" dataDxfId="166" headerRowBorderDxfId="164" tableBorderDxfId="165" totalsRowBorderDxfId="163">
  <tableColumns count="15">
    <tableColumn id="1" xr3:uid="{00000000-0010-0000-0A00-000001000000}" name="S/N" dataDxfId="162"/>
    <tableColumn id="2" xr3:uid="{00000000-0010-0000-0A00-000002000000}" name="Candidate" dataDxfId="161"/>
    <tableColumn id="3" xr3:uid="{00000000-0010-0000-0A00-000003000000}" name="Nationality (Singapore/SPR)" dataDxfId="160"/>
    <tableColumn id="14" xr3:uid="{00000000-0010-0000-0A00-00000E000000}" name="Email Address" dataDxfId="159"/>
    <tableColumn id="4" xr3:uid="{00000000-0010-0000-0A00-000004000000}" name="Contact Number" dataDxfId="158"/>
    <tableColumn id="15" xr3:uid="{00000000-0010-0000-0A00-00000F000000}" name="LinkedIn Pofile/Resume/Portfolio" dataDxfId="157"/>
    <tableColumn id="5" xr3:uid="{00000000-0010-0000-0A00-000005000000}" name="TA on Duty" dataDxfId="156"/>
    <tableColumn id="6" xr3:uid="{00000000-0010-0000-0A00-000006000000}" name="Clear Screening Questions_x000a_(Yes/No)" dataDxfId="155"/>
    <tableColumn id="7" xr3:uid="{00000000-0010-0000-0A00-000007000000}" name="Current drawn salary" dataDxfId="154"/>
    <tableColumn id="8" xr3:uid="{00000000-0010-0000-0A00-000008000000}" name="Expected salary" dataDxfId="153"/>
    <tableColumn id="9" xr3:uid="{00000000-0010-0000-0A00-000009000000}" name="Notice Period/Availability" dataDxfId="152"/>
    <tableColumn id="10" xr3:uid="{00000000-0010-0000-0A00-00000A000000}" name="TA Followup Action_x000a_* AE = Actual Event_x000a_PE = Post Event" dataDxfId="151"/>
    <tableColumn id="11" xr3:uid="{00000000-0010-0000-0A00-00000B000000}" name="Remarks _x000a_for Followup Action" dataDxfId="150"/>
    <tableColumn id="12" xr3:uid="{00000000-0010-0000-0A00-00000C000000}" name="Interview Date &amp; Time" dataDxfId="149"/>
    <tableColumn id="13" xr3:uid="{00000000-0010-0000-0A00-00000D000000}" name="Join Date" dataDxfId="148"/>
  </tableColumns>
  <tableStyleInfo name="TableStyleLight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B000000}" name="Table11" displayName="Table11" ref="B9:P15" totalsRowShown="0" headerRowDxfId="141" dataDxfId="140" headerRowBorderDxfId="138" tableBorderDxfId="139" totalsRowBorderDxfId="137">
  <tableColumns count="15">
    <tableColumn id="1" xr3:uid="{00000000-0010-0000-0B00-000001000000}" name="S/N" dataDxfId="136"/>
    <tableColumn id="2" xr3:uid="{00000000-0010-0000-0B00-000002000000}" name="Candidate" dataDxfId="135"/>
    <tableColumn id="3" xr3:uid="{00000000-0010-0000-0B00-000003000000}" name="Nationality (Singapore/SPR)" dataDxfId="134"/>
    <tableColumn id="14" xr3:uid="{00000000-0010-0000-0B00-00000E000000}" name="Email Address" dataDxfId="133"/>
    <tableColumn id="4" xr3:uid="{00000000-0010-0000-0B00-000004000000}" name="Contact Number" dataDxfId="132"/>
    <tableColumn id="15" xr3:uid="{00000000-0010-0000-0B00-00000F000000}" name="LinkedIn Pofile/Resume/Portfolio" dataDxfId="131"/>
    <tableColumn id="5" xr3:uid="{00000000-0010-0000-0B00-000005000000}" name="TA on Duty" dataDxfId="130"/>
    <tableColumn id="6" xr3:uid="{00000000-0010-0000-0B00-000006000000}" name="Clear Screening Questions_x000a_(Yes/No)" dataDxfId="129"/>
    <tableColumn id="7" xr3:uid="{00000000-0010-0000-0B00-000007000000}" name="Current drawn salary" dataDxfId="128"/>
    <tableColumn id="8" xr3:uid="{00000000-0010-0000-0B00-000008000000}" name="Expected salary" dataDxfId="127"/>
    <tableColumn id="9" xr3:uid="{00000000-0010-0000-0B00-000009000000}" name="Notice Period/Availability" dataDxfId="126"/>
    <tableColumn id="10" xr3:uid="{00000000-0010-0000-0B00-00000A000000}" name="TA Followup Action_x000a_* AE = Actual Event_x000a_PE = Post Event" dataDxfId="125"/>
    <tableColumn id="11" xr3:uid="{00000000-0010-0000-0B00-00000B000000}" name="Remarks _x000a_for Followup Action" dataDxfId="124"/>
    <tableColumn id="12" xr3:uid="{00000000-0010-0000-0B00-00000C000000}" name="Interview Date &amp; Time" dataDxfId="123"/>
    <tableColumn id="13" xr3:uid="{00000000-0010-0000-0B00-00000D000000}" name="Join Date" dataDxfId="122"/>
  </tableColumns>
  <tableStyleInfo name="TableStyleLight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C000000}" name="Table12" displayName="Table12" ref="B9:Q22" totalsRowShown="0" headerRowDxfId="115" dataDxfId="114" headerRowBorderDxfId="112" tableBorderDxfId="113" totalsRowBorderDxfId="111">
  <tableColumns count="16">
    <tableColumn id="1" xr3:uid="{00000000-0010-0000-0C00-000001000000}" name="S/N" dataDxfId="110"/>
    <tableColumn id="2" xr3:uid="{00000000-0010-0000-0C00-000002000000}" name="Candidate" dataDxfId="109"/>
    <tableColumn id="3" xr3:uid="{00000000-0010-0000-0C00-000003000000}" name="Nationality (Singapore/SPR)" dataDxfId="108"/>
    <tableColumn id="14" xr3:uid="{00000000-0010-0000-0C00-00000E000000}" name="Email Address" dataDxfId="107"/>
    <tableColumn id="4" xr3:uid="{00000000-0010-0000-0C00-000004000000}" name="Contact Number" dataDxfId="106"/>
    <tableColumn id="15" xr3:uid="{00000000-0010-0000-0C00-00000F000000}" name="LinkedIn Pofile/Resume/Portfolio" dataDxfId="105"/>
    <tableColumn id="5" xr3:uid="{00000000-0010-0000-0C00-000005000000}" name="TA on Duty" dataDxfId="104"/>
    <tableColumn id="6" xr3:uid="{00000000-0010-0000-0C00-000006000000}" name="Clear Screening Questions_x000a_(Yes/No)" dataDxfId="103"/>
    <tableColumn id="7" xr3:uid="{00000000-0010-0000-0C00-000007000000}" name="Current drawn salary" dataDxfId="102"/>
    <tableColumn id="8" xr3:uid="{00000000-0010-0000-0C00-000008000000}" name="Expected salary" dataDxfId="101"/>
    <tableColumn id="9" xr3:uid="{00000000-0010-0000-0C00-000009000000}" name="Notice Period/Availability" dataDxfId="100"/>
    <tableColumn id="10" xr3:uid="{00000000-0010-0000-0C00-00000A000000}" name="TA Followup Action_x000a_* AE = Actual Event_x000a_PE = Post Event" dataDxfId="99"/>
    <tableColumn id="11" xr3:uid="{00000000-0010-0000-0C00-00000B000000}" name="Remarks _x000a_for Followup Action" dataDxfId="98"/>
    <tableColumn id="12" xr3:uid="{00000000-0010-0000-0C00-00000C000000}" name="Interview Date &amp; Time" dataDxfId="97"/>
    <tableColumn id="13" xr3:uid="{00000000-0010-0000-0C00-00000D000000}" name="Join Date" dataDxfId="96"/>
    <tableColumn id="16" xr3:uid="{00000000-0010-0000-0C00-000010000000}" name="Screening Information" dataDxfId="95"/>
  </tableColumns>
  <tableStyleInfo name="TableStyleLight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D000000}" name="Table13" displayName="Table13" ref="B9:Q27" totalsRowShown="0" headerRowDxfId="86" dataDxfId="85" headerRowBorderDxfId="83" tableBorderDxfId="84" totalsRowBorderDxfId="82">
  <tableColumns count="16">
    <tableColumn id="1" xr3:uid="{00000000-0010-0000-0D00-000001000000}" name="S/N" dataDxfId="81"/>
    <tableColumn id="2" xr3:uid="{00000000-0010-0000-0D00-000002000000}" name="Candidate" dataDxfId="80"/>
    <tableColumn id="3" xr3:uid="{00000000-0010-0000-0D00-000003000000}" name="Nationality (Singapore/SPR)" dataDxfId="79"/>
    <tableColumn id="14" xr3:uid="{00000000-0010-0000-0D00-00000E000000}" name="Email Address" dataDxfId="78"/>
    <tableColumn id="4" xr3:uid="{00000000-0010-0000-0D00-000004000000}" name="Contact Number" dataDxfId="77"/>
    <tableColumn id="15" xr3:uid="{00000000-0010-0000-0D00-00000F000000}" name="LinkedIn Pofile/Resume/Portfolio" dataDxfId="76"/>
    <tableColumn id="5" xr3:uid="{00000000-0010-0000-0D00-000005000000}" name="TA on Duty" dataDxfId="75"/>
    <tableColumn id="6" xr3:uid="{00000000-0010-0000-0D00-000006000000}" name="Clear Screening Questions_x000a_(Yes/No)" dataDxfId="74"/>
    <tableColumn id="7" xr3:uid="{00000000-0010-0000-0D00-000007000000}" name="Current drawn salary" dataDxfId="73"/>
    <tableColumn id="8" xr3:uid="{00000000-0010-0000-0D00-000008000000}" name="Expected salary" dataDxfId="72"/>
    <tableColumn id="9" xr3:uid="{00000000-0010-0000-0D00-000009000000}" name="Notice Period/Availability" dataDxfId="71"/>
    <tableColumn id="10" xr3:uid="{00000000-0010-0000-0D00-00000A000000}" name="TA Followup Action_x000a_* AE = Actual Event_x000a_PE = Post Event" dataDxfId="70"/>
    <tableColumn id="11" xr3:uid="{00000000-0010-0000-0D00-00000B000000}" name="Remarks _x000a_for Followup Action" dataDxfId="69"/>
    <tableColumn id="12" xr3:uid="{00000000-0010-0000-0D00-00000C000000}" name="Interview Date &amp; Time" dataDxfId="68"/>
    <tableColumn id="13" xr3:uid="{00000000-0010-0000-0D00-00000D000000}" name="Join Date" dataDxfId="67"/>
    <tableColumn id="16" xr3:uid="{00000000-0010-0000-0D00-000010000000}" name="Column1" dataDxfId="66"/>
  </tableColumns>
  <tableStyleInfo name="TableStyleLight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E000000}" name="Table14" displayName="Table14" ref="B9:P34" totalsRowShown="0" headerRowDxfId="45" dataDxfId="44" headerRowBorderDxfId="42" tableBorderDxfId="43" totalsRowBorderDxfId="41">
  <autoFilter ref="B9:P34" xr:uid="{00000000-0009-0000-0100-00000E000000}"/>
  <tableColumns count="15">
    <tableColumn id="1" xr3:uid="{00000000-0010-0000-0E00-000001000000}" name="S/N" dataDxfId="40"/>
    <tableColumn id="2" xr3:uid="{00000000-0010-0000-0E00-000002000000}" name="Candidate" dataDxfId="39"/>
    <tableColumn id="3" xr3:uid="{00000000-0010-0000-0E00-000003000000}" name="Nationality (Singapore/SPR)" dataDxfId="38"/>
    <tableColumn id="14" xr3:uid="{00000000-0010-0000-0E00-00000E000000}" name="Email Address" dataDxfId="37"/>
    <tableColumn id="4" xr3:uid="{00000000-0010-0000-0E00-000004000000}" name="Contact Number" dataDxfId="36"/>
    <tableColumn id="15" xr3:uid="{00000000-0010-0000-0E00-00000F000000}" name="LinkedIn Pofile/Resume/Portfolio" dataDxfId="35"/>
    <tableColumn id="5" xr3:uid="{00000000-0010-0000-0E00-000005000000}" name="TA on Duty" dataDxfId="34"/>
    <tableColumn id="6" xr3:uid="{00000000-0010-0000-0E00-000006000000}" name="Clear Screening Questions_x000a_(Yes/No)" dataDxfId="33"/>
    <tableColumn id="7" xr3:uid="{00000000-0010-0000-0E00-000007000000}" name="Current drawn salary" dataDxfId="32"/>
    <tableColumn id="8" xr3:uid="{00000000-0010-0000-0E00-000008000000}" name="Expected salary" dataDxfId="31"/>
    <tableColumn id="9" xr3:uid="{00000000-0010-0000-0E00-000009000000}" name="Notice Period/Availability" dataDxfId="30"/>
    <tableColumn id="10" xr3:uid="{00000000-0010-0000-0E00-00000A000000}" name="TA Followup Action_x000a_* AE = Actual Event_x000a_PE = Post Event" dataDxfId="29"/>
    <tableColumn id="11" xr3:uid="{00000000-0010-0000-0E00-00000B000000}" name="Remarks _x000a_for Followup Action" dataDxfId="28"/>
    <tableColumn id="12" xr3:uid="{00000000-0010-0000-0E00-00000C000000}" name="Interview Date &amp; Time" dataDxfId="27"/>
    <tableColumn id="13" xr3:uid="{00000000-0010-0000-0E00-00000D000000}" name="Join Date" dataDxfId="26"/>
  </tableColumns>
  <tableStyleInfo name="TableStyleLight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F000000}" name="Table15" displayName="Table15" ref="B9:P41" totalsRowShown="0" headerRowDxfId="19" dataDxfId="18" headerRowBorderDxfId="16" tableBorderDxfId="17" totalsRowBorderDxfId="15">
  <autoFilter ref="B9:P41" xr:uid="{00000000-0009-0000-0100-00000F000000}"/>
  <tableColumns count="15">
    <tableColumn id="1" xr3:uid="{00000000-0010-0000-0F00-000001000000}" name="S/N" dataDxfId="14"/>
    <tableColumn id="2" xr3:uid="{00000000-0010-0000-0F00-000002000000}" name="Candidate" dataDxfId="13"/>
    <tableColumn id="3" xr3:uid="{00000000-0010-0000-0F00-000003000000}" name="Nationality (Singapore/SPR)" dataDxfId="12"/>
    <tableColumn id="14" xr3:uid="{00000000-0010-0000-0F00-00000E000000}" name="Email Address" dataDxfId="11"/>
    <tableColumn id="4" xr3:uid="{00000000-0010-0000-0F00-000004000000}" name="Contact Number" dataDxfId="10"/>
    <tableColumn id="15" xr3:uid="{00000000-0010-0000-0F00-00000F000000}" name="LinkedIn Pofile/Resume/Portfolio" dataDxfId="9"/>
    <tableColumn id="5" xr3:uid="{00000000-0010-0000-0F00-000005000000}" name="TA on Duty" dataDxfId="8"/>
    <tableColumn id="6" xr3:uid="{00000000-0010-0000-0F00-000006000000}" name="Clear Screening Questions_x000a_(Yes/No)" dataDxfId="7"/>
    <tableColumn id="7" xr3:uid="{00000000-0010-0000-0F00-000007000000}" name="Current drawn salary" dataDxfId="6"/>
    <tableColumn id="8" xr3:uid="{00000000-0010-0000-0F00-000008000000}" name="Expected salary" dataDxfId="5"/>
    <tableColumn id="9" xr3:uid="{00000000-0010-0000-0F00-000009000000}" name="Notice Period/Availability" dataDxfId="4"/>
    <tableColumn id="10" xr3:uid="{00000000-0010-0000-0F00-00000A000000}" name="TA Followup Action_x000a_* AE = Actual Event_x000a_PE = Post Event" dataDxfId="3"/>
    <tableColumn id="11" xr3:uid="{00000000-0010-0000-0F00-00000B000000}" name="Remarks _x000a_for Followup Action" dataDxfId="2"/>
    <tableColumn id="12" xr3:uid="{00000000-0010-0000-0F00-00000C000000}" name="Interview Date &amp; Time" dataDxfId="1"/>
    <tableColumn id="13" xr3:uid="{00000000-0010-0000-0F00-00000D000000}" name="Join Date"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amanda.tan@ncs.com.sg" TargetMode="External"/><Relationship Id="rId13" Type="http://schemas.openxmlformats.org/officeDocument/2006/relationships/hyperlink" Target="mailto:mandy.lim@ncs.com.sg" TargetMode="External"/><Relationship Id="rId3" Type="http://schemas.openxmlformats.org/officeDocument/2006/relationships/hyperlink" Target="mailto:edward.lim@ncs.com.sg" TargetMode="External"/><Relationship Id="rId7" Type="http://schemas.openxmlformats.org/officeDocument/2006/relationships/hyperlink" Target="mailto:joyce.lim@ncs.com.sg" TargetMode="External"/><Relationship Id="rId12" Type="http://schemas.openxmlformats.org/officeDocument/2006/relationships/hyperlink" Target="mailto:jiaxin.chen@ncs.com.sg" TargetMode="External"/><Relationship Id="rId2" Type="http://schemas.openxmlformats.org/officeDocument/2006/relationships/hyperlink" Target="mailto:keely.shen@ncs.com.sg" TargetMode="External"/><Relationship Id="rId16" Type="http://schemas.openxmlformats.org/officeDocument/2006/relationships/printerSettings" Target="../printerSettings/printerSettings2.bin"/><Relationship Id="rId1" Type="http://schemas.openxmlformats.org/officeDocument/2006/relationships/hyperlink" Target="mailto:yanyee.lau@ncs.com.sg" TargetMode="External"/><Relationship Id="rId6" Type="http://schemas.openxmlformats.org/officeDocument/2006/relationships/hyperlink" Target="mailto:ace.cheng@ncs.com.sg" TargetMode="External"/><Relationship Id="rId11" Type="http://schemas.openxmlformats.org/officeDocument/2006/relationships/hyperlink" Target="mailto:sherlynn.tan@singtel.com" TargetMode="External"/><Relationship Id="rId5" Type="http://schemas.openxmlformats.org/officeDocument/2006/relationships/hyperlink" Target="mailto:donny.su@ncs.com.sg" TargetMode="External"/><Relationship Id="rId15" Type="http://schemas.openxmlformats.org/officeDocument/2006/relationships/hyperlink" Target="mailto:jessica.ho@trustwave.com" TargetMode="External"/><Relationship Id="rId10" Type="http://schemas.openxmlformats.org/officeDocument/2006/relationships/hyperlink" Target="mailto:charlotte.goh@ncs.com.sg" TargetMode="External"/><Relationship Id="rId4" Type="http://schemas.openxmlformats.org/officeDocument/2006/relationships/hyperlink" Target="mailto:chloe.ong@singtel.com" TargetMode="External"/><Relationship Id="rId9" Type="http://schemas.openxmlformats.org/officeDocument/2006/relationships/hyperlink" Target="mailto:jaclyn.tan@ncs.com.sg" TargetMode="External"/><Relationship Id="rId14" Type="http://schemas.openxmlformats.org/officeDocument/2006/relationships/hyperlink" Target="mailto:denise.koong@ncs.com.sg"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limkaisern1995@gmail.com" TargetMode="External"/><Relationship Id="rId1" Type="http://schemas.openxmlformats.org/officeDocument/2006/relationships/hyperlink" Target="mailto:fazlimusa1981@yahoo.com.sg" TargetMode="Externa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5.bin"/><Relationship Id="rId1" Type="http://schemas.openxmlformats.org/officeDocument/2006/relationships/hyperlink" Target="https://www.mycareersfuture.gov.sg/job/information-technology/software-engineer-ncs-1ae2aa3ff244a62853129940769c77f4?source=MCF&amp;event=RecommendedJobJD"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6.bin"/><Relationship Id="rId1" Type="http://schemas.openxmlformats.org/officeDocument/2006/relationships/hyperlink" Target="https://www.mycareersfuture.gov.sg/job/information-technology/systems-engineer-ncs-bdab00860091a921197c60b7eb1d4a87?source=MCF&amp;event=RecommendedJobJD"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printerSettings" Target="../printerSettings/printerSettings7.bin"/><Relationship Id="rId1" Type="http://schemas.openxmlformats.org/officeDocument/2006/relationships/hyperlink" Target="https://www.mycareersfuture.gov.sg/job/information-technology/helpdesk-engineer-ncs-2078c1f960dd2b16128e149e4d65ed66"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rinterSettings" Target="../printerSettings/printerSettings8.bin"/><Relationship Id="rId1" Type="http://schemas.openxmlformats.org/officeDocument/2006/relationships/hyperlink" Target="https://www1.mycareersfuture.gov.sg/job/information-technology/network-engineer-ncs-39c9da60def620cb974e34ceb1447b78"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linkedin.com/in/ojhjason/" TargetMode="External"/><Relationship Id="rId1" Type="http://schemas.openxmlformats.org/officeDocument/2006/relationships/hyperlink" Target="https://www.mycareersfuture.gov.sg/job/information-technology/data-management-consultant-ncs-d048e5136c00d944e96adb086b60f307?utm_campaign=google_jobs_apply&amp;utm_source=google_jobs_apply&amp;utm_medium=organic" TargetMode="External"/><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printerSettings" Target="../printerSettings/printerSettings10.bin"/><Relationship Id="rId1" Type="http://schemas.openxmlformats.org/officeDocument/2006/relationships/hyperlink" Target="https://www1.mycareersfuture.gov.sg/job/information-technology/software-engineer-ncs-1ae2aa3ff244a62853129940769c77f4" TargetMode="External"/></Relationships>
</file>

<file path=xl/worksheets/_rels/sheet11.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printerSettings" Target="../printerSettings/printerSettings11.bin"/><Relationship Id="rId1" Type="http://schemas.openxmlformats.org/officeDocument/2006/relationships/hyperlink" Target="https://www1.mycareersfuture.gov.sg/job/information-technology/senior-project-manager-ncs-2507baeadc78b74431c78dd7d62daf67?source=MCF&amp;event=RecommendedJobJD&amp;utm_campaign=google_jobs_apply&amp;utm_source=google_jobs_apply&amp;utm_medium=organic" TargetMode="External"/></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printerSettings" Target="../printerSettings/printerSettings12.bin"/><Relationship Id="rId1" Type="http://schemas.openxmlformats.org/officeDocument/2006/relationships/hyperlink" Target="https://www.mycareersfuture.gov.sg/job/information-technology/security-consultant-ncs-840d00d294a837dca23f27ff962f456c" TargetMode="Externa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printerSettings" Target="../printerSettings/printerSettings13.bin"/><Relationship Id="rId1" Type="http://schemas.openxmlformats.org/officeDocument/2006/relationships/hyperlink" Target="https://www.mycareersfuture.gov.sg/job/information-technology/systems-network-security-consultant-ncs-7ba28c8837801e006ebfe20674267a6d"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mailto:kpchong2000@yahoo.com.sg" TargetMode="External"/><Relationship Id="rId1" Type="http://schemas.openxmlformats.org/officeDocument/2006/relationships/hyperlink" Target="https://www.mycareersfuture.gov.sg/job/information-technology/security-consultant-ncs-fea65a843733a49c3a4c154fdc66a094?utm_campaign=google_jobs_apply&amp;utm_source=google_jobs_apply&amp;utm_medium=organic" TargetMode="External"/><Relationship Id="rId4"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printerSettings" Target="../printerSettings/printerSettings15.bin"/><Relationship Id="rId1" Type="http://schemas.openxmlformats.org/officeDocument/2006/relationships/hyperlink" Target="https://www.mycareersfuture.gov.sg/job/banking-finance/devops-engineer-zentact-systems-fd89ba10ca258f1a75d8999ee9723d5f" TargetMode="External"/></Relationships>
</file>

<file path=xl/worksheets/_rels/sheet16.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printerSettings" Target="../printerSettings/printerSettings16.bin"/><Relationship Id="rId1" Type="http://schemas.openxmlformats.org/officeDocument/2006/relationships/hyperlink" Target="https://www.mycareersfuture.gov.sg/job/information-technology/systems-engineer-ncs-bdab00860091a921197c60b7eb1d4a87?source=MCF&amp;event=RecommendedJobJD&amp;utm_campaign=google_jobs_apply&amp;utm_source=google_jobs_apply&amp;utm_medium=organic" TargetMode="External"/></Relationships>
</file>

<file path=xl/worksheets/_rels/sheet17.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printerSettings" Target="../printerSettings/printerSettings17.bin"/><Relationship Id="rId1" Type="http://schemas.openxmlformats.org/officeDocument/2006/relationships/hyperlink" Target="https://www.mycareersfuture.gov.sg/job/information-technology/associate-network-consultant-ncs-1513dd252d4496814e2279917b6446c5" TargetMode="External"/></Relationships>
</file>

<file path=xl/worksheets/_rels/sheet18.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printerSettings" Target="../printerSettings/printerSettings18.bin"/><Relationship Id="rId1" Type="http://schemas.openxmlformats.org/officeDocument/2006/relationships/hyperlink" Target="https://www.mycareersfuture.gov.sg/job/information-technology/associate-business-analyst-ncs-aa61dbe1e505e080b7a17e955d3427d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499984740745262"/>
  </sheetPr>
  <dimension ref="B1:V22"/>
  <sheetViews>
    <sheetView zoomScale="80" zoomScaleNormal="80" workbookViewId="0">
      <pane xSplit="5" ySplit="3" topLeftCell="Q4" activePane="bottomRight" state="frozen"/>
      <selection pane="bottomRight" activeCell="S10" sqref="S10"/>
      <selection pane="bottomLeft"/>
      <selection pane="topRight"/>
    </sheetView>
  </sheetViews>
  <sheetFormatPr defaultColWidth="8.5703125" defaultRowHeight="24.95" customHeight="1"/>
  <cols>
    <col min="1" max="1" width="8.5703125" style="128"/>
    <col min="2" max="2" width="8.5703125" style="128" customWidth="1"/>
    <col min="3" max="3" width="23.85546875" style="128" hidden="1" customWidth="1"/>
    <col min="4" max="4" width="28.140625" style="128" customWidth="1"/>
    <col min="5" max="5" width="49.5703125" style="128" customWidth="1"/>
    <col min="6" max="6" width="15.7109375" style="128" customWidth="1"/>
    <col min="7" max="7" width="15.7109375" style="129" customWidth="1"/>
    <col min="8" max="13" width="15.7109375" style="128" customWidth="1"/>
    <col min="14" max="15" width="15.7109375" style="129" customWidth="1"/>
    <col min="16" max="16" width="15.7109375" style="128" customWidth="1"/>
    <col min="17" max="17" width="15.7109375" style="129" customWidth="1"/>
    <col min="18" max="22" width="15.7109375" style="128" customWidth="1"/>
    <col min="23" max="16382" width="8.5703125" style="128"/>
    <col min="16383" max="16384" width="8.5703125" style="128" bestFit="1" customWidth="1"/>
  </cols>
  <sheetData>
    <row r="1" spans="2:22" ht="12.75" customHeight="1" thickBot="1"/>
    <row r="2" spans="2:22" ht="20.25" customHeight="1" thickBot="1">
      <c r="I2" s="199" t="s">
        <v>0</v>
      </c>
      <c r="J2" s="200"/>
      <c r="K2" s="201" t="s">
        <v>1</v>
      </c>
      <c r="L2" s="202"/>
      <c r="M2" s="202"/>
      <c r="N2" s="202"/>
      <c r="O2" s="203"/>
      <c r="P2" s="196" t="s">
        <v>2</v>
      </c>
      <c r="Q2" s="197"/>
      <c r="R2" s="197"/>
      <c r="S2" s="197"/>
      <c r="T2" s="197"/>
      <c r="U2" s="197"/>
      <c r="V2" s="198"/>
    </row>
    <row r="3" spans="2:22" ht="52.5" thickBot="1">
      <c r="B3" s="130" t="s">
        <v>3</v>
      </c>
      <c r="C3" s="131" t="s">
        <v>4</v>
      </c>
      <c r="D3" s="131" t="s">
        <v>5</v>
      </c>
      <c r="E3" s="132" t="s">
        <v>6</v>
      </c>
      <c r="F3" s="133" t="s">
        <v>7</v>
      </c>
      <c r="G3" s="134" t="s">
        <v>8</v>
      </c>
      <c r="H3" s="135" t="s">
        <v>0</v>
      </c>
      <c r="I3" s="136" t="s">
        <v>9</v>
      </c>
      <c r="J3" s="137" t="s">
        <v>10</v>
      </c>
      <c r="K3" s="138" t="s">
        <v>11</v>
      </c>
      <c r="L3" s="138" t="s">
        <v>12</v>
      </c>
      <c r="M3" s="139" t="s">
        <v>13</v>
      </c>
      <c r="N3" s="139" t="s">
        <v>14</v>
      </c>
      <c r="O3" s="139" t="s">
        <v>15</v>
      </c>
      <c r="P3" s="140" t="s">
        <v>16</v>
      </c>
      <c r="Q3" s="140" t="s">
        <v>17</v>
      </c>
      <c r="R3" s="140" t="s">
        <v>18</v>
      </c>
      <c r="S3" s="140" t="s">
        <v>19</v>
      </c>
      <c r="T3" s="140" t="s">
        <v>20</v>
      </c>
      <c r="U3" s="140" t="s">
        <v>21</v>
      </c>
      <c r="V3" s="141" t="s">
        <v>22</v>
      </c>
    </row>
    <row r="4" spans="2:22" ht="24.95" customHeight="1">
      <c r="B4" s="142" t="s">
        <v>23</v>
      </c>
      <c r="C4" s="143" t="s">
        <v>24</v>
      </c>
      <c r="D4" s="143" t="s">
        <v>25</v>
      </c>
      <c r="E4" s="144" t="s">
        <v>26</v>
      </c>
      <c r="F4" s="145">
        <f>COUNTBLANK(Table1[[#All],[TA on Duty]])+COUNTA(Table1[[#All],[TA on Duty]])-1</f>
        <v>22</v>
      </c>
      <c r="G4" s="146">
        <f>COUNTA(Table1[[#All],[TA on Duty]])-1</f>
        <v>12</v>
      </c>
      <c r="H4" s="147">
        <f>F4-G4</f>
        <v>10</v>
      </c>
      <c r="I4" s="147"/>
      <c r="J4" s="147">
        <f>COUNTIF(Table1[[#All],[TA Followup Action
* AE = Actual Event
PE = Post Event]],"[PE] Withdrawn")</f>
        <v>0</v>
      </c>
      <c r="K4" s="147">
        <f>COUNTIF(Table1[[#All],[TA Followup Action
* AE = Actual Event
PE = Post Event]],"[AE] Failed Screening Questions")</f>
        <v>6</v>
      </c>
      <c r="L4" s="148">
        <f>COUNTIF(Table1[[#All],[TA Followup Action
* AE = Actual Event
PE = Post Event]],"[AE] Failed Interview &amp; Provide Reasons")</f>
        <v>0</v>
      </c>
      <c r="M4" s="148">
        <f t="shared" ref="M4:M19" si="0">SUM(N4:V4)</f>
        <v>6</v>
      </c>
      <c r="N4" s="146">
        <f>COUNTIF(Table1[[#All],[TA Followup Action
* AE = Actual Event
PE = Post Event]],"[AE] Proceed to Next Stage")</f>
        <v>4</v>
      </c>
      <c r="O4" s="146">
        <f>COUNTIF(Table1[[#All],[TA Followup Action
* AE = Actual Event
PE = Post Event]],"[AE] Consider for other roles")</f>
        <v>0</v>
      </c>
      <c r="P4" s="146">
        <f>COUNTIF(Table1[[#All],[TA Followup Action
* AE = Actual Event
PE = Post Event]],"[PE] KIV")</f>
        <v>1</v>
      </c>
      <c r="Q4" s="146">
        <f>COUNTIF(Table1[[#All],[TA Followup Action
* AE = Actual Event
PE = Post Event]],"[PE] Shortlisted for Interview")</f>
        <v>1</v>
      </c>
      <c r="R4" s="147">
        <f>COUNTIF(Table1[[#All],[TA Followup Action
* AE = Actual Event
PE = Post Event]],"[PE] Not Shortlisted for Interview")</f>
        <v>0</v>
      </c>
      <c r="S4" s="147">
        <f>COUNTIF(Table1[[#All],[TA Followup Action
* AE = Actual Event
PE = Post Event]],"[PE] Interview Fail")</f>
        <v>0</v>
      </c>
      <c r="T4" s="147">
        <f>COUNTIF(Table1[[#All],[TA Followup Action
* AE = Actual Event
PE = Post Event]],"[PE] Pre-offer")</f>
        <v>0</v>
      </c>
      <c r="U4" s="147">
        <f>COUNTIF(Table1[[#All],[TA Followup Action
* AE = Actual Event
PE = Post Event]],"[PE] Accept Offer")</f>
        <v>0</v>
      </c>
      <c r="V4" s="147">
        <f>COUNTIF(Table1[[#All],[TA Followup Action
* AE = Actual Event
PE = Post Event]],"[PE] Reject Offer")</f>
        <v>0</v>
      </c>
    </row>
    <row r="5" spans="2:22" ht="30.6" customHeight="1" thickBot="1">
      <c r="B5" s="149" t="s">
        <v>23</v>
      </c>
      <c r="C5" s="150" t="s">
        <v>27</v>
      </c>
      <c r="D5" s="150" t="s">
        <v>25</v>
      </c>
      <c r="E5" s="151" t="s">
        <v>28</v>
      </c>
      <c r="F5" s="152">
        <f>COUNTBLANK(Table2[[#All],[TA on Duty]])+COUNTA(Table2[[#All],[TA on Duty]])-1</f>
        <v>10</v>
      </c>
      <c r="G5" s="153">
        <f>COUNTA(Table2[[#All],[TA on Duty]])-1</f>
        <v>6</v>
      </c>
      <c r="H5" s="154">
        <f t="shared" ref="H5:H8" si="1">F5-G5</f>
        <v>4</v>
      </c>
      <c r="I5" s="154"/>
      <c r="J5" s="154">
        <f>COUNTIF(Table2[[#All],[TA Followup Action
* AE = Actual Event
PE = Post Event]], "[PE] Withdrawn")</f>
        <v>1</v>
      </c>
      <c r="K5" s="154">
        <f>COUNTIF(Table2[[#All],[TA Followup Action
* AE = Actual Event
PE = Post Event]],"[AE] Failed Screening Questions")</f>
        <v>0</v>
      </c>
      <c r="L5" s="155">
        <f>COUNTIF(Table2[[#All],[TA Followup Action
* AE = Actual Event
PE = Post Event]], "[AE] Failed Interview &amp; Provide Reasons")</f>
        <v>0</v>
      </c>
      <c r="M5" s="155">
        <f t="shared" si="0"/>
        <v>6</v>
      </c>
      <c r="N5" s="153">
        <f>COUNTIF(Table2[[#All],[TA Followup Action
* AE = Actual Event
PE = Post Event]], "[AE] Proceed to Next Stage")</f>
        <v>0</v>
      </c>
      <c r="O5" s="153">
        <f>COUNTIF(Table2[[#All],[TA Followup Action
* AE = Actual Event
PE = Post Event]],"[AE] Consider for other roles")</f>
        <v>0</v>
      </c>
      <c r="P5" s="153">
        <f>COUNTIF(Table2[[#All],[TA Followup Action
* AE = Actual Event
PE = Post Event]], "[PE] KIV")</f>
        <v>2</v>
      </c>
      <c r="Q5" s="153">
        <f>COUNTIF(Table2[[#All],[TA Followup Action
* AE = Actual Event
PE = Post Event]], "[PE] Shortlisted for Interview")</f>
        <v>2</v>
      </c>
      <c r="R5" s="154">
        <f>COUNTIF(Table2[[#All],[TA Followup Action
* AE = Actual Event
PE = Post Event]], "[PE] Not Shortlisted for Interview")</f>
        <v>2</v>
      </c>
      <c r="S5" s="154">
        <f>COUNTIF(Table2[[#All],[TA Followup Action
* AE = Actual Event
PE = Post Event]], "[PE] Interview Fail")</f>
        <v>0</v>
      </c>
      <c r="T5" s="154">
        <f>COUNTIF(Table2[[#All],[TA Followup Action
* AE = Actual Event
PE = Post Event]], "[PE] Pre-offer")</f>
        <v>0</v>
      </c>
      <c r="U5" s="154">
        <f>COUNTIF(Table2[[#All],[TA Followup Action
* AE = Actual Event
PE = Post Event]], "[PE] Accept Offer")</f>
        <v>0</v>
      </c>
      <c r="V5" s="154">
        <f>COUNTIF(Table2[[#All],[TA Followup Action
* AE = Actual Event
PE = Post Event]],"[AE] Reject Offer")</f>
        <v>0</v>
      </c>
    </row>
    <row r="6" spans="2:22" ht="24.95" customHeight="1">
      <c r="B6" s="142" t="s">
        <v>23</v>
      </c>
      <c r="C6" s="143" t="s">
        <v>29</v>
      </c>
      <c r="D6" s="143" t="s">
        <v>30</v>
      </c>
      <c r="E6" s="144" t="s">
        <v>31</v>
      </c>
      <c r="F6" s="156">
        <f>COUNTA(Table3[[#All],[TA on Duty]])+COUNTBLANK(Table3[[#All],[TA on Duty]])-1</f>
        <v>6</v>
      </c>
      <c r="G6" s="157">
        <f>COUNTA(Table3[[#All],[TA on Duty]])-1</f>
        <v>5</v>
      </c>
      <c r="H6" s="158">
        <f t="shared" si="1"/>
        <v>1</v>
      </c>
      <c r="I6" s="158"/>
      <c r="J6" s="158">
        <f>COUNTIF(Table3[[#All],[TA Followup Action
* AE = Actual Event
PE = Post Event]],"[PE] Withdrawn")</f>
        <v>0</v>
      </c>
      <c r="K6" s="158">
        <f>COUNTIF(Table3[[#All],[TA Followup Action
* AE = Actual Event
PE = Post Event]],"[AE] Failed Screening Questions")</f>
        <v>0</v>
      </c>
      <c r="L6" s="158">
        <f>COUNTIF(Table3[[#All],[TA Followup Action
* AE = Actual Event
PE = Post Event]],"[AE] Failed Interview &amp; Provide Reasons")</f>
        <v>0</v>
      </c>
      <c r="M6" s="159">
        <f t="shared" si="0"/>
        <v>3</v>
      </c>
      <c r="N6" s="157">
        <f>COUNTIF(Table3[[#All],[TA Followup Action
* AE = Actual Event
PE = Post Event]],"[AE] Proceed to Next Stage")</f>
        <v>2</v>
      </c>
      <c r="O6" s="157">
        <f>COUNTIF(Table3[[#All],[TA Followup Action
* AE = Actual Event
PE = Post Event]],"[AE] Consider for other roles")</f>
        <v>0</v>
      </c>
      <c r="P6" s="157">
        <f>COUNTIF(Table3[[#All],[TA Followup Action
* AE = Actual Event
PE = Post Event]],"[PE] KIV")</f>
        <v>0</v>
      </c>
      <c r="Q6" s="157">
        <f>COUNTIF(Table3[[#All],[TA Followup Action
* AE = Actual Event
PE = Post Event]],"[PE] Shortlisted for Interview")</f>
        <v>0</v>
      </c>
      <c r="R6" s="158">
        <f>COUNTIF(Table3[[#All],[TA Followup Action
* AE = Actual Event
PE = Post Event]],"[PE] Not Shortlisted for Interview")</f>
        <v>1</v>
      </c>
      <c r="S6" s="158">
        <f>COUNTIF(Table3[[#All],[TA Followup Action
* AE = Actual Event
PE = Post Event]],"[PE] Interview Fail")</f>
        <v>0</v>
      </c>
      <c r="T6" s="158">
        <f>COUNTIF(Table3[[#All],[TA Followup Action
* AE = Actual Event
PE = Post Event]],"[PE] Pre-offer")</f>
        <v>0</v>
      </c>
      <c r="U6" s="158">
        <f>COUNTIF(Table3[[#All],[TA Followup Action
* AE = Actual Event
PE = Post Event]],"[PE] Accept Offer")</f>
        <v>0</v>
      </c>
      <c r="V6" s="160">
        <f>COUNTIF(Table3[[#All],[TA Followup Action
* AE = Actual Event
PE = Post Event]],"[AE] Reject Offer")</f>
        <v>0</v>
      </c>
    </row>
    <row r="7" spans="2:22" ht="24.95" customHeight="1">
      <c r="B7" s="161" t="s">
        <v>23</v>
      </c>
      <c r="C7" s="162" t="s">
        <v>29</v>
      </c>
      <c r="D7" s="162" t="s">
        <v>32</v>
      </c>
      <c r="E7" s="163" t="s">
        <v>33</v>
      </c>
      <c r="F7" s="164">
        <f>COUNTBLANK(Table4234[[#All],[TA on Duty]])+COUNTA(Table4234[[#All],[TA on Duty]])-1</f>
        <v>4</v>
      </c>
      <c r="G7" s="165">
        <f>COUNTA(Table4234[[#All],[TA on Duty]])-1</f>
        <v>3</v>
      </c>
      <c r="H7" s="166">
        <f t="shared" si="1"/>
        <v>1</v>
      </c>
      <c r="I7" s="166"/>
      <c r="J7" s="166">
        <f>COUNTIF(Table4234[[#All],[TA Followup Action
* AE = Actual Event
PE = Post Event]],"[PE] Withdrawn")</f>
        <v>0</v>
      </c>
      <c r="K7" s="166">
        <f>COUNTIF(Table4234[[#All],[TA Followup Action
* AE = Actual Event
PE = Post Event]],"[AE] Failed Screening Questions")</f>
        <v>0</v>
      </c>
      <c r="L7" s="167">
        <f>COUNTIF(Table4234[[#All],[TA Followup Action
* AE = Actual Event
PE = Post Event]],"[AE] Failed Interview &amp; Provide Reasons")</f>
        <v>0</v>
      </c>
      <c r="M7" s="167">
        <f t="shared" si="0"/>
        <v>3</v>
      </c>
      <c r="N7" s="165">
        <f>COUNTIF(Table4234[[#All],[TA Followup Action
* AE = Actual Event
PE = Post Event]],"[AE] Proceed to Next Stage")</f>
        <v>2</v>
      </c>
      <c r="O7" s="165">
        <f>COUNTIF(Table4234[[#All],[TA Followup Action
* AE = Actual Event
PE = Post Event]],"[AE] Consider for other roles")</f>
        <v>0</v>
      </c>
      <c r="P7" s="165">
        <f>COUNTIF(Table4234[[#All],[TA Followup Action
* AE = Actual Event
PE = Post Event]],"[PE] KIV")</f>
        <v>0</v>
      </c>
      <c r="Q7" s="165">
        <f>COUNTIF(Table4234[[#All],[TA Followup Action
* AE = Actual Event
PE = Post Event]],"[PE] Shortlisted for Interview")</f>
        <v>0</v>
      </c>
      <c r="R7" s="166">
        <f>COUNTIF(Table4234[[#All],[TA Followup Action
* AE = Actual Event
PE = Post Event]],"[PE] Not Shortlisted for Interview")</f>
        <v>0</v>
      </c>
      <c r="S7" s="166">
        <f>COUNTIF(Table4234[[#All],[TA Followup Action
* AE = Actual Event
PE = Post Event]],"[PE] Interview Fail")</f>
        <v>1</v>
      </c>
      <c r="T7" s="166">
        <f>COUNTIF(Table4234[[#All],[TA Followup Action
* AE = Actual Event
PE = Post Event]],"[PE] Pre-offer")</f>
        <v>0</v>
      </c>
      <c r="U7" s="166">
        <f>COUNTIF(Table4234[[#All],[TA Followup Action
* AE = Actual Event
PE = Post Event]],"[PE] Accept Offer")</f>
        <v>0</v>
      </c>
      <c r="V7" s="168">
        <f>COUNTIF(Table4234[[#All],[TA Followup Action
* AE = Actual Event
PE = Post Event]],"[AE] Reject Offer")</f>
        <v>0</v>
      </c>
    </row>
    <row r="8" spans="2:22" ht="24.95" customHeight="1">
      <c r="B8" s="149" t="s">
        <v>23</v>
      </c>
      <c r="C8" s="150" t="s">
        <v>29</v>
      </c>
      <c r="D8" s="162" t="s">
        <v>34</v>
      </c>
      <c r="E8" s="151" t="s">
        <v>35</v>
      </c>
      <c r="F8" s="164">
        <f>COUNTBLANK(Table5[[#All],[TA on Duty]])+COUNTA(Table5[[#All],[TA on Duty]])-1</f>
        <v>5</v>
      </c>
      <c r="G8" s="165">
        <f>COUNTA(Table5[[#All],[TA on Duty]])-1</f>
        <v>4</v>
      </c>
      <c r="H8" s="166">
        <f t="shared" si="1"/>
        <v>1</v>
      </c>
      <c r="I8" s="166"/>
      <c r="J8" s="166">
        <f>COUNTIF(Table5[[#All],[TA Followup Action
* AE = Actual Event
PE = Post Event]],"[PE] Withdrawn")</f>
        <v>0</v>
      </c>
      <c r="K8" s="166">
        <f>COUNTIF(Table5[[#All],[TA Followup Action
* AE = Actual Event
PE = Post Event]],"[AE] Failed Screening Questions")</f>
        <v>0</v>
      </c>
      <c r="L8" s="167">
        <f>COUNTIF(Table5[[#All],[TA Followup Action
* AE = Actual Event
PE = Post Event]],"[AE] Failed Interview &amp; Provide Reasons")</f>
        <v>0</v>
      </c>
      <c r="M8" s="167">
        <f t="shared" si="0"/>
        <v>4</v>
      </c>
      <c r="N8" s="165">
        <f>COUNTIF(Table5[[#All],[TA Followup Action
* AE = Actual Event
PE = Post Event]],"[AE] Proceed to Next Stage")</f>
        <v>3</v>
      </c>
      <c r="O8" s="165">
        <f>COUNTIF(Table5[[#All],[TA Followup Action
* AE = Actual Event
PE = Post Event]],"[AE] Consider for other roles")</f>
        <v>0</v>
      </c>
      <c r="P8" s="165">
        <f>COUNTIF(Table5[[#All],[TA Followup Action
* AE = Actual Event
PE = Post Event]],"[PE] KIV")</f>
        <v>1</v>
      </c>
      <c r="Q8" s="165">
        <f>COUNTIF(Table5[[#All],[TA Followup Action
* AE = Actual Event
PE = Post Event]],"[PE] Shortlisted for Interview")</f>
        <v>0</v>
      </c>
      <c r="R8" s="166">
        <f>COUNTIF(Table5[[#All],[TA Followup Action
* AE = Actual Event
PE = Post Event]],"[PE] Not Shortlisted for Interview")</f>
        <v>0</v>
      </c>
      <c r="S8" s="166">
        <f>COUNTIF(Table5[[#All],[TA Followup Action
* AE = Actual Event
PE = Post Event]],"[PE] Interview Fail")</f>
        <v>0</v>
      </c>
      <c r="T8" s="166">
        <f>COUNTIF(Table5[[#All],[TA Followup Action
* AE = Actual Event
PE = Post Event]],"[PE] Pre-offer")</f>
        <v>0</v>
      </c>
      <c r="U8" s="166">
        <f>COUNTIF(Table5[[#All],[TA Followup Action
* AE = Actual Event
PE = Post Event]],"[PE] Accept Offer")</f>
        <v>0</v>
      </c>
      <c r="V8" s="168">
        <f>COUNTIF(Table5[[#All],[TA Followup Action
* AE = Actual Event
PE = Post Event]],"[AE] Reject Offer")</f>
        <v>0</v>
      </c>
    </row>
    <row r="9" spans="2:22" ht="24.95" customHeight="1">
      <c r="B9" s="161" t="s">
        <v>23</v>
      </c>
      <c r="C9" s="162" t="s">
        <v>36</v>
      </c>
      <c r="D9" s="162" t="s">
        <v>37</v>
      </c>
      <c r="E9" s="163" t="s">
        <v>38</v>
      </c>
      <c r="F9" s="164">
        <f>COUNTBLANK(Table6[[#All],[TA on Duty]])+COUNTA(Table6[[#All],[TA on Duty]])-1</f>
        <v>2</v>
      </c>
      <c r="G9" s="165">
        <f>COUNTA(Table6[[#All],[TA on Duty]])-1</f>
        <v>1</v>
      </c>
      <c r="H9" s="166">
        <f t="shared" ref="H9:H19" si="2">F9-G9</f>
        <v>1</v>
      </c>
      <c r="I9" s="166"/>
      <c r="J9" s="166">
        <f>COUNTIF(Table6[[#All],[TA Followup Action
* AE = Actual Event
PE = Post Event]],"[PE] Withdrawn")</f>
        <v>1</v>
      </c>
      <c r="K9" s="166">
        <f>COUNTIF(Table6[[#All],[TA Followup Action
* AE = Actual Event
PE = Post Event]],"[AE] Failed Screening Questions")</f>
        <v>1</v>
      </c>
      <c r="L9" s="167">
        <f>COUNTIF(Table6[[#All],[TA Followup Action
* AE = Actual Event
PE = Post Event]],"[AE] Failed Interview &amp; Provide Reasons")</f>
        <v>0</v>
      </c>
      <c r="M9" s="167">
        <f t="shared" ref="M9:M19" si="3">SUM(N9:V9)</f>
        <v>0</v>
      </c>
      <c r="N9" s="165">
        <f>COUNTIF(Table6[[#All],[TA Followup Action
* AE = Actual Event
PE = Post Event]],"[AE] Proceed to Next Stage")</f>
        <v>0</v>
      </c>
      <c r="O9" s="165">
        <f>COUNTIF(Table6[[#All],[TA Followup Action
* AE = Actual Event
PE = Post Event]],"[AE] Consider for other roles")</f>
        <v>0</v>
      </c>
      <c r="P9" s="165">
        <f>COUNTIF(Table6[[#All],[TA Followup Action
* AE = Actual Event
PE = Post Event]],"[PE] KIV")</f>
        <v>0</v>
      </c>
      <c r="Q9" s="165">
        <f>COUNTIF(Table6[[#All],[TA Followup Action
* AE = Actual Event
PE = Post Event]],"[PE] Shortlisted for Interview")</f>
        <v>0</v>
      </c>
      <c r="R9" s="166">
        <f>COUNTIF(Table6[[#All],[TA Followup Action
* AE = Actual Event
PE = Post Event]],"[PE] Not Shortlisted for Interview")</f>
        <v>0</v>
      </c>
      <c r="S9" s="166">
        <f>COUNTIF(Table6[[#All],[TA Followup Action
* AE = Actual Event
PE = Post Event]],"[PE] Interview Fail")</f>
        <v>0</v>
      </c>
      <c r="T9" s="166">
        <f>COUNTIF(Table6[[#All],[TA Followup Action
* AE = Actual Event
PE = Post Event]],"[PE] Pre-offer")</f>
        <v>0</v>
      </c>
      <c r="U9" s="166">
        <f>COUNTIF(Table6[[#All],[TA Followup Action
* AE = Actual Event
PE = Post Event]],"[PE] Accept Offer")</f>
        <v>0</v>
      </c>
      <c r="V9" s="168">
        <f>COUNTIF(Table6[[#All],[TA Followup Action
* AE = Actual Event
PE = Post Event]],"[AE] Reject Offer")</f>
        <v>0</v>
      </c>
    </row>
    <row r="10" spans="2:22" ht="24.95" customHeight="1">
      <c r="B10" s="161" t="s">
        <v>23</v>
      </c>
      <c r="C10" s="162" t="s">
        <v>36</v>
      </c>
      <c r="D10" s="162" t="s">
        <v>39</v>
      </c>
      <c r="E10" s="163" t="s">
        <v>40</v>
      </c>
      <c r="F10" s="164">
        <f>COUNTBLANK(Table7[[#All],[TA on Duty]])+COUNTA(Table7[[#All],[TA on Duty]])-1</f>
        <v>7</v>
      </c>
      <c r="G10" s="165">
        <f>COUNTA(Table7[[#All],[TA on Duty]])-1</f>
        <v>6</v>
      </c>
      <c r="H10" s="166">
        <f t="shared" si="2"/>
        <v>1</v>
      </c>
      <c r="I10" s="166"/>
      <c r="J10" s="166">
        <f>COUNTIF(Table7[[#All],[TA Followup Action
* AE = Actual Event
PE = Post Event]],"[PE] Withdrawn")</f>
        <v>0</v>
      </c>
      <c r="K10" s="166">
        <f>COUNTIF(Table7[[#All],[TA Followup Action
* AE = Actual Event
PE = Post Event]],"[AE] Failed Screening Questions")</f>
        <v>0</v>
      </c>
      <c r="L10" s="167">
        <f>COUNTIF(Table7[[#All],[TA Followup Action
* AE = Actual Event
PE = Post Event]],"[AE] Failed Interview &amp; Provide Reasons")</f>
        <v>1</v>
      </c>
      <c r="M10" s="167">
        <f t="shared" si="3"/>
        <v>4</v>
      </c>
      <c r="N10" s="165">
        <f>COUNTIF(Table7[[#All],[TA Followup Action
* AE = Actual Event
PE = Post Event]],"[AE] Proceed to Next Stage")</f>
        <v>3</v>
      </c>
      <c r="O10" s="165">
        <f>COUNTIF(Table7[[#All],[TA Followup Action
* AE = Actual Event
PE = Post Event]],"[AE] Consider for other roles")</f>
        <v>0</v>
      </c>
      <c r="P10" s="165">
        <f>COUNTIF(Table7[[#All],[TA Followup Action
* AE = Actual Event
PE = Post Event]],"[PE] KIV")</f>
        <v>0</v>
      </c>
      <c r="Q10" s="165">
        <f>COUNTIF(Table7[[#All],[TA Followup Action
* AE = Actual Event
PE = Post Event]],"[PE] Shortlisted for Interview")</f>
        <v>0</v>
      </c>
      <c r="R10" s="166">
        <f>COUNTIF(Table7[[#All],[TA Followup Action
* AE = Actual Event
PE = Post Event]],"[PE] Not Shortlisted for Interview")</f>
        <v>1</v>
      </c>
      <c r="S10" s="166">
        <f>COUNTIF(Table7[[#All],[TA Followup Action
* AE = Actual Event
PE = Post Event]],"[PE] Interview Fail")</f>
        <v>0</v>
      </c>
      <c r="T10" s="166">
        <f>COUNTIF(Table7[[#All],[TA Followup Action
* AE = Actual Event
PE = Post Event]],"[PE] Pre-offer")</f>
        <v>0</v>
      </c>
      <c r="U10" s="166">
        <f>COUNTIF(Table7[[#All],[TA Followup Action
* AE = Actual Event
PE = Post Event]],"[PE] Accept Offer")</f>
        <v>0</v>
      </c>
      <c r="V10" s="168">
        <f>COUNTIF(Table7[[#All],[TA Followup Action
* AE = Actual Event
PE = Post Event]],"[AE] Reject Offer")</f>
        <v>0</v>
      </c>
    </row>
    <row r="11" spans="2:22" ht="24.95" customHeight="1" thickBot="1">
      <c r="B11" s="169" t="s">
        <v>23</v>
      </c>
      <c r="C11" s="170" t="s">
        <v>36</v>
      </c>
      <c r="D11" s="170" t="s">
        <v>41</v>
      </c>
      <c r="E11" s="171" t="s">
        <v>42</v>
      </c>
      <c r="F11" s="172">
        <f>COUNTBLANK(Table8[[#All],[TA on Duty]])+COUNTA(Table8[[#All],[TA on Duty]])-1</f>
        <v>12</v>
      </c>
      <c r="G11" s="173">
        <f>COUNTA(Table8[[#All],[TA on Duty]])-1</f>
        <v>8</v>
      </c>
      <c r="H11" s="174">
        <f t="shared" si="2"/>
        <v>4</v>
      </c>
      <c r="I11" s="174"/>
      <c r="J11" s="174">
        <f>COUNTIF(Table8[[#All],[TA Followup Action
* AE = Actual Event
PE = Post Event]],"[PE] Withdrawn")</f>
        <v>2</v>
      </c>
      <c r="K11" s="174">
        <f>COUNTIF(Table8[[#All],[TA Followup Action
* AE = Actual Event
PE = Post Event]],"[AE] Failed Screening Questions")</f>
        <v>0</v>
      </c>
      <c r="L11" s="175">
        <f>COUNTIF(Table8[[#All],[TA Followup Action
* AE = Actual Event
PE = Post Event]],"[AE] Failed Interview &amp; Provide Reasons")</f>
        <v>1</v>
      </c>
      <c r="M11" s="175">
        <f t="shared" si="3"/>
        <v>8</v>
      </c>
      <c r="N11" s="173">
        <f>COUNTIF(Table8[[#All],[TA Followup Action
* AE = Actual Event
PE = Post Event]],"[AE] Proceed to Next Stage")</f>
        <v>3</v>
      </c>
      <c r="O11" s="173">
        <f>COUNTIF(Table8[[#All],[TA Followup Action
* AE = Actual Event
PE = Post Event]],"[AE] Consider for other roles")</f>
        <v>0</v>
      </c>
      <c r="P11" s="173">
        <f>COUNTIF(Table8[[#All],[TA Followup Action
* AE = Actual Event
PE = Post Event]],"[PE] KIV")</f>
        <v>1</v>
      </c>
      <c r="Q11" s="173">
        <f>COUNTIF(Table8[[#All],[TA Followup Action
* AE = Actual Event
PE = Post Event]],"[PE] Shortlisted for Interview")</f>
        <v>4</v>
      </c>
      <c r="R11" s="174">
        <f>COUNTIF(Table8[[#All],[TA Followup Action
* AE = Actual Event
PE = Post Event]],"[PE] Not Shortlisted for Interview")</f>
        <v>0</v>
      </c>
      <c r="S11" s="174">
        <f>COUNTIF(Table8[[#All],[TA Followup Action
* AE = Actual Event
PE = Post Event]],"[PE] Interview Fail")</f>
        <v>0</v>
      </c>
      <c r="T11" s="174">
        <f>COUNTIF(Table8[[#All],[TA Followup Action
* AE = Actual Event
PE = Post Event]],"[PE] Pre-offer")</f>
        <v>0</v>
      </c>
      <c r="U11" s="174">
        <f>COUNTIF(Table8[[#All],[TA Followup Action
* AE = Actual Event
PE = Post Event]],"[PE] Accept Offer")</f>
        <v>0</v>
      </c>
      <c r="V11" s="176">
        <f>COUNTIF(Table8[[#All],[TA Followup Action
* AE = Actual Event
PE = Post Event]],"[AE] Reject Offer")</f>
        <v>0</v>
      </c>
    </row>
    <row r="12" spans="2:22" ht="25.5" customHeight="1">
      <c r="B12" s="142" t="s">
        <v>23</v>
      </c>
      <c r="C12" s="143" t="s">
        <v>43</v>
      </c>
      <c r="D12" s="143" t="s">
        <v>41</v>
      </c>
      <c r="E12" s="144" t="s">
        <v>44</v>
      </c>
      <c r="F12" s="156">
        <f>COUNTBLANK(Table9[[#All],[TA on Duty]])+COUNTA(Table9[[#All],[TA on Duty]])-1</f>
        <v>2</v>
      </c>
      <c r="G12" s="157">
        <f>COUNTA(Table9[[#All],[TA on Duty]])-1</f>
        <v>2</v>
      </c>
      <c r="H12" s="158">
        <f t="shared" si="2"/>
        <v>0</v>
      </c>
      <c r="I12" s="158"/>
      <c r="J12" s="158">
        <f>COUNTIF(Table9[[#All],[TA Followup Action
* AE = Actual Event
PE = Post Event]],"[PE] Withdrawn")</f>
        <v>0</v>
      </c>
      <c r="K12" s="158">
        <f>COUNTIF(Table9[[#All],[TA Followup Action
* AE = Actual Event
PE = Post Event]],"[AE] Failed Screening Questions")</f>
        <v>0</v>
      </c>
      <c r="L12" s="159">
        <f>COUNTIF(Table9[[#All],[TA Followup Action
* AE = Actual Event
PE = Post Event]],"[AE] Failed Interview &amp; Provide Reasons")</f>
        <v>0</v>
      </c>
      <c r="M12" s="159">
        <f t="shared" si="3"/>
        <v>2</v>
      </c>
      <c r="N12" s="157">
        <f>COUNTIF(Table9[[#All],[TA Followup Action
* AE = Actual Event
PE = Post Event]],"[AE] Proceed to Next Stage")</f>
        <v>0</v>
      </c>
      <c r="O12" s="157">
        <f>COUNTIF(Table9[[#All],[TA Followup Action
* AE = Actual Event
PE = Post Event]],"[AE] Consider for other roles")</f>
        <v>0</v>
      </c>
      <c r="P12" s="157">
        <f>COUNTIF(Table9[[#All],[TA Followup Action
* AE = Actual Event
PE = Post Event]],"[PE] KIV")</f>
        <v>0</v>
      </c>
      <c r="Q12" s="157">
        <f>COUNTIF(Table9[[#All],[TA Followup Action
* AE = Actual Event
PE = Post Event]],"[PE] Shortlisted for Interview")</f>
        <v>0</v>
      </c>
      <c r="R12" s="158">
        <f>COUNTIF(Table9[[#All],[TA Followup Action
* AE = Actual Event
PE = Post Event]],"[PE] Not Shortlisted for Interview")</f>
        <v>0</v>
      </c>
      <c r="S12" s="158">
        <f>COUNTIF(Table9[[#All],[TA Followup Action
* AE = Actual Event
PE = Post Event]],"[PE] Interview Fail")</f>
        <v>1</v>
      </c>
      <c r="T12" s="158">
        <f>COUNTIF(Table9[[#All],[TA Followup Action
* AE = Actual Event
PE = Post Event]],"[PE] Pre-offer")</f>
        <v>1</v>
      </c>
      <c r="U12" s="158">
        <f>COUNTIF(Table9[[#All],[TA Followup Action
* AE = Actual Event
PE = Post Event]],"[PE] Accept Offer")</f>
        <v>0</v>
      </c>
      <c r="V12" s="160">
        <f>COUNTIF(Table9[[#All],[TA Followup Action
* AE = Actual Event
PE = Post Event]],"[AE] Reject Offer")</f>
        <v>0</v>
      </c>
    </row>
    <row r="13" spans="2:22" ht="24.95" customHeight="1">
      <c r="B13" s="161" t="s">
        <v>23</v>
      </c>
      <c r="C13" s="162" t="s">
        <v>43</v>
      </c>
      <c r="D13" s="162" t="s">
        <v>45</v>
      </c>
      <c r="E13" s="163" t="s">
        <v>46</v>
      </c>
      <c r="F13" s="164">
        <f>COUNTBLANK(Table10[[#All],[TA on Duty]])+COUNTA(Table10[[#All],[TA on Duty]])-1</f>
        <v>4</v>
      </c>
      <c r="G13" s="165">
        <f>COUNTA(Table10[[#All],[TA on Duty]])-1</f>
        <v>3</v>
      </c>
      <c r="H13" s="166">
        <f t="shared" si="2"/>
        <v>1</v>
      </c>
      <c r="I13" s="166"/>
      <c r="J13" s="166">
        <f>COUNTIF(Table10[[#All],[TA Followup Action
* AE = Actual Event
PE = Post Event]],"[PE] Withdrawn")</f>
        <v>2</v>
      </c>
      <c r="K13" s="166">
        <f>COUNTIF(Table10[[#All],[TA Followup Action
* AE = Actual Event
PE = Post Event]],"[AE] Failed Screening Questions")</f>
        <v>0</v>
      </c>
      <c r="L13" s="167">
        <f>COUNTIF(Table10[[#All],[TA Followup Action
* AE = Actual Event
PE = Post Event]],"[AE] Failed Interview &amp; Provide Reasons")</f>
        <v>1</v>
      </c>
      <c r="M13" s="167">
        <f t="shared" si="3"/>
        <v>1</v>
      </c>
      <c r="N13" s="165">
        <f>COUNTIF(Table10[[#All],[TA Followup Action
* AE = Actual Event
PE = Post Event]],"[AE] Proceed to Next Stage")</f>
        <v>0</v>
      </c>
      <c r="O13" s="165">
        <f>COUNTIF(Table10[[#All],[TA Followup Action
* AE = Actual Event
PE = Post Event]],"[AE] Consider for other roles")</f>
        <v>0</v>
      </c>
      <c r="P13" s="165">
        <f>COUNTIF(Table10[[#All],[TA Followup Action
* AE = Actual Event
PE = Post Event]],"[PE] KIV")</f>
        <v>0</v>
      </c>
      <c r="Q13" s="165">
        <f>COUNTIF(Table10[[#All],[TA Followup Action
* AE = Actual Event
PE = Post Event]],"[PE] Shortlisted for Interview")</f>
        <v>0</v>
      </c>
      <c r="R13" s="166">
        <f>COUNTIF(Table10[[#All],[TA Followup Action
* AE = Actual Event
PE = Post Event]],"[PE] Not Shortlisted for Interview")</f>
        <v>0</v>
      </c>
      <c r="S13" s="166">
        <f>COUNTIF(Table10[[#All],[TA Followup Action
* AE = Actual Event
PE = Post Event]],"[PE] Interview Fail")</f>
        <v>0</v>
      </c>
      <c r="T13" s="166">
        <f>COUNTIF(Table10[[#All],[TA Followup Action
* AE = Actual Event
PE = Post Event]],"[PE] Pre-offer")</f>
        <v>1</v>
      </c>
      <c r="U13" s="166">
        <f>COUNTIF(Table10[[#All],[TA Followup Action
* AE = Actual Event
PE = Post Event]],"[PE] Accept Offer")</f>
        <v>0</v>
      </c>
      <c r="V13" s="168">
        <f>COUNTIF(Table10[[#All],[TA Followup Action
* AE = Actual Event
PE = Post Event]],"[AE] Reject Offer")</f>
        <v>0</v>
      </c>
    </row>
    <row r="14" spans="2:22" ht="24.95" customHeight="1" thickBot="1">
      <c r="B14" s="169" t="s">
        <v>23</v>
      </c>
      <c r="C14" s="170" t="s">
        <v>47</v>
      </c>
      <c r="D14" s="170" t="s">
        <v>41</v>
      </c>
      <c r="E14" s="171" t="s">
        <v>48</v>
      </c>
      <c r="F14" s="172">
        <f>COUNTBLANK(Table11[[#All],[TA on Duty]])+COUNTA(Table11[[#All],[TA on Duty]])-1</f>
        <v>6</v>
      </c>
      <c r="G14" s="173">
        <f>COUNTA(Table11[[#All],[TA on Duty]])-1</f>
        <v>4</v>
      </c>
      <c r="H14" s="174">
        <f t="shared" si="2"/>
        <v>2</v>
      </c>
      <c r="I14" s="174"/>
      <c r="J14" s="174">
        <f>COUNTIF(Table11[[#All],[TA Followup Action
* AE = Actual Event
PE = Post Event]],"[PE] Withdrawn")</f>
        <v>1</v>
      </c>
      <c r="K14" s="174">
        <f>COUNTIF(Table11[[#All],[TA Followup Action
* AE = Actual Event
PE = Post Event]],"[AE] Failed Screening Questions")</f>
        <v>0</v>
      </c>
      <c r="L14" s="175">
        <f>COUNTIF(Table11[[#All],[TA Followup Action
* AE = Actual Event
PE = Post Event]],"[AE] Failed Interview &amp; Provide Reasons")</f>
        <v>0</v>
      </c>
      <c r="M14" s="175">
        <f t="shared" si="3"/>
        <v>4</v>
      </c>
      <c r="N14" s="173">
        <f>COUNTIF(Table11[[#All],[TA Followup Action
* AE = Actual Event
PE = Post Event]],"[AE] Proceed to Next Stage")</f>
        <v>1</v>
      </c>
      <c r="O14" s="173">
        <f>COUNTIF(Table11[[#All],[TA Followup Action
* AE = Actual Event
PE = Post Event]],"[AE] Consider for other roles")</f>
        <v>0</v>
      </c>
      <c r="P14" s="173">
        <f>COUNTIF(Table11[[#All],[TA Followup Action
* AE = Actual Event
PE = Post Event]],"[PE] KIV")</f>
        <v>0</v>
      </c>
      <c r="Q14" s="173">
        <f>COUNTIF(Table11[[#All],[TA Followup Action
* AE = Actual Event
PE = Post Event]],"[PE] Shortlisted for Interview")</f>
        <v>2</v>
      </c>
      <c r="R14" s="174">
        <f>COUNTIF(Table11[[#All],[TA Followup Action
* AE = Actual Event
PE = Post Event]],"[PE] Not Shortlisted for Interview")</f>
        <v>0</v>
      </c>
      <c r="S14" s="174">
        <f>COUNTIF(Table11[[#All],[TA Followup Action
* AE = Actual Event
PE = Post Event]],"[PE] Interview Fail")</f>
        <v>0</v>
      </c>
      <c r="T14" s="174">
        <f>COUNTIF(Table11[[#All],[TA Followup Action
* AE = Actual Event
PE = Post Event]],"[PE] Pre-offer")</f>
        <v>1</v>
      </c>
      <c r="U14" s="174">
        <f>COUNTIF(Table11[[#All],[TA Followup Action
* AE = Actual Event
PE = Post Event]],"[PE] Accept Offer")</f>
        <v>0</v>
      </c>
      <c r="V14" s="176">
        <f>COUNTIF(Table11[[#All],[TA Followup Action
* AE = Actual Event
PE = Post Event]],"[AE] Reject Offer")</f>
        <v>0</v>
      </c>
    </row>
    <row r="15" spans="2:22" ht="24.95" customHeight="1">
      <c r="B15" s="177" t="s">
        <v>49</v>
      </c>
      <c r="C15" s="178" t="s">
        <v>50</v>
      </c>
      <c r="D15" s="143" t="s">
        <v>34</v>
      </c>
      <c r="E15" s="179" t="s">
        <v>51</v>
      </c>
      <c r="F15" s="156">
        <f>COUNTBLANK(Table12[[#All],[TA on Duty]])+COUNTA(Table12[[#All],[TA on Duty]])-1</f>
        <v>13</v>
      </c>
      <c r="G15" s="157">
        <f>COUNTA(Table12[[#All],[TA on Duty]])-1</f>
        <v>10</v>
      </c>
      <c r="H15" s="158">
        <f t="shared" si="2"/>
        <v>3</v>
      </c>
      <c r="I15" s="158"/>
      <c r="J15" s="158">
        <f>COUNTIF(Table12[[#All],[TA Followup Action
* AE = Actual Event
PE = Post Event]],"[PE] Withdrawn")</f>
        <v>1</v>
      </c>
      <c r="K15" s="158">
        <f>COUNTIF(Table12[[#All],[TA Followup Action
* AE = Actual Event
PE = Post Event]],"[AE] Failed Screening Questions")</f>
        <v>0</v>
      </c>
      <c r="L15" s="159">
        <f>COUNTIF(Table12[[#All],[TA Followup Action
* AE = Actual Event
PE = Post Event]],"[AE] Failed Interview &amp; Provide Reasons")</f>
        <v>0</v>
      </c>
      <c r="M15" s="159">
        <f t="shared" si="3"/>
        <v>11</v>
      </c>
      <c r="N15" s="157">
        <f>COUNTIF(Table12[[#All],[TA Followup Action
* AE = Actual Event
PE = Post Event]],"[AE] Proceed to Next Stage")</f>
        <v>8</v>
      </c>
      <c r="O15" s="157">
        <f>COUNTIF(Table12[[#All],[TA Followup Action
* AE = Actual Event
PE = Post Event]],"[AE] Consider for other roles")</f>
        <v>2</v>
      </c>
      <c r="P15" s="157">
        <f>COUNTIF(Table12[[#All],[TA Followup Action
* AE = Actual Event
PE = Post Event]],"[PE] KIV")</f>
        <v>0</v>
      </c>
      <c r="Q15" s="157">
        <f>COUNTIF(Table12[[#All],[TA Followup Action
* AE = Actual Event
PE = Post Event]],"[PE] Shortlisted for Interview")</f>
        <v>0</v>
      </c>
      <c r="R15" s="158">
        <f>COUNTIF(Table12[[#All],[TA Followup Action
* AE = Actual Event
PE = Post Event]],"[PE] Not Shortlisted for Interview")</f>
        <v>1</v>
      </c>
      <c r="S15" s="158">
        <f>COUNTIF(Table12[[#All],[TA Followup Action
* AE = Actual Event
PE = Post Event]],"[PE] Interview Fail")</f>
        <v>0</v>
      </c>
      <c r="T15" s="158">
        <f>COUNTIF(Table12[[#All],[TA Followup Action
* AE = Actual Event
PE = Post Event]],"[PE] Pre-offer")</f>
        <v>0</v>
      </c>
      <c r="U15" s="158">
        <f>COUNTIF(Table12[[#All],[TA Followup Action
* AE = Actual Event
PE = Post Event]],"[PE] Accept Offer")</f>
        <v>0</v>
      </c>
      <c r="V15" s="160">
        <f>COUNTIF(Table12[[#All],[TA Followup Action
* AE = Actual Event
PE = Post Event]],"[AE] Reject Offer")</f>
        <v>0</v>
      </c>
    </row>
    <row r="16" spans="2:22" ht="24.95" customHeight="1">
      <c r="B16" s="161" t="s">
        <v>49</v>
      </c>
      <c r="C16" s="162" t="s">
        <v>50</v>
      </c>
      <c r="D16" s="162" t="s">
        <v>52</v>
      </c>
      <c r="E16" s="163" t="s">
        <v>31</v>
      </c>
      <c r="F16" s="164">
        <f>COUNTBLANK(Table13[[#All],[TA on Duty]])+COUNTA(Table13[[#All],[TA on Duty]])-1</f>
        <v>18</v>
      </c>
      <c r="G16" s="165">
        <f>COUNTA(Table13[[#All],[TA on Duty]])-1</f>
        <v>13</v>
      </c>
      <c r="H16" s="166">
        <f t="shared" si="2"/>
        <v>5</v>
      </c>
      <c r="I16" s="166"/>
      <c r="J16" s="166">
        <f>COUNTIF(Table13[[#All],[TA Followup Action
* AE = Actual Event
PE = Post Event]],"[PE] Withdrawn")</f>
        <v>2</v>
      </c>
      <c r="K16" s="166">
        <f>COUNTIF(Table13[[#All],[TA Followup Action
* AE = Actual Event
PE = Post Event]],"[AE] Failed Screening Questions")</f>
        <v>1</v>
      </c>
      <c r="L16" s="167">
        <f>COUNTIF(Table13[[#All],[TA Followup Action
* AE = Actual Event
PE = Post Event]],"[AE] Failed Interview &amp; Provide Reasons")</f>
        <v>1</v>
      </c>
      <c r="M16" s="167">
        <f t="shared" si="3"/>
        <v>11</v>
      </c>
      <c r="N16" s="165">
        <f>COUNTIF(Table13[[#All],[TA Followup Action
* AE = Actual Event
PE = Post Event]],"[AE] Proceed to Next Stage")</f>
        <v>1</v>
      </c>
      <c r="O16" s="165">
        <f>COUNTIF(Table13[[#All],[TA Followup Action
* AE = Actual Event
PE = Post Event]],"[AE] Consider for other roles")</f>
        <v>0</v>
      </c>
      <c r="P16" s="165">
        <f>COUNTIF(Table13[[#All],[TA Followup Action
* AE = Actual Event
PE = Post Event]],"[PE] KIV")</f>
        <v>0</v>
      </c>
      <c r="Q16" s="165">
        <f>COUNTIF(Table13[[#All],[TA Followup Action
* AE = Actual Event
PE = Post Event]],"[PE] Shortlisted for Interview")</f>
        <v>5</v>
      </c>
      <c r="R16" s="166">
        <f>COUNTIF(Table13[[#All],[TA Followup Action
* AE = Actual Event
PE = Post Event]],"[PE] Not Shortlisted for Interview")</f>
        <v>5</v>
      </c>
      <c r="S16" s="166">
        <f>COUNTIF(Table13[[#All],[TA Followup Action
* AE = Actual Event
PE = Post Event]],"[PE] Interview Fail")</f>
        <v>0</v>
      </c>
      <c r="T16" s="166">
        <f>COUNTIF(Table13[[#All],[TA Followup Action
* AE = Actual Event
PE = Post Event]],"[PE] Pre-offer")</f>
        <v>0</v>
      </c>
      <c r="U16" s="166">
        <f>COUNTIF(Table13[[#All],[TA Followup Action
* AE = Actual Event
PE = Post Event]],"[PE] Accept Offer")</f>
        <v>0</v>
      </c>
      <c r="V16" s="168">
        <f>COUNTIF(Table13[[#All],[TA Followup Action
* AE = Actual Event
PE = Post Event]],"[AE] Reject Offer")</f>
        <v>0</v>
      </c>
    </row>
    <row r="17" spans="2:22" ht="24.95" customHeight="1">
      <c r="B17" s="161" t="s">
        <v>49</v>
      </c>
      <c r="C17" s="162" t="s">
        <v>53</v>
      </c>
      <c r="D17" s="162" t="s">
        <v>52</v>
      </c>
      <c r="E17" s="163" t="s">
        <v>54</v>
      </c>
      <c r="F17" s="164">
        <f>COUNTBLANK(Table14[[#All],[TA on Duty]])+COUNTA(Table14[[#All],[TA on Duty]])-1</f>
        <v>25</v>
      </c>
      <c r="G17" s="165">
        <f>COUNTA(Table14[[#All],[TA on Duty]])-1</f>
        <v>19</v>
      </c>
      <c r="H17" s="166">
        <f t="shared" si="2"/>
        <v>6</v>
      </c>
      <c r="I17" s="166"/>
      <c r="J17" s="166">
        <f>COUNTIF(Table14[[#All],[TA Followup Action
* AE = Actual Event
PE = Post Event]],"[PE] Withdrawn")</f>
        <v>1</v>
      </c>
      <c r="K17" s="166">
        <f>COUNTIF(Table14[[#All],[TA Followup Action
* AE = Actual Event
PE = Post Event]],"[AE] Failed Screening Questions")</f>
        <v>2</v>
      </c>
      <c r="L17" s="167">
        <f>COUNTIF(Table14[[#All],[TA Followup Action
* AE = Actual Event
PE = Post Event]],"[AE] Failed Interview &amp; Provide Reasons")</f>
        <v>2</v>
      </c>
      <c r="M17" s="167">
        <f t="shared" si="3"/>
        <v>14</v>
      </c>
      <c r="N17" s="165">
        <f>COUNTIF(Table14[[#All],[TA Followup Action
* AE = Actual Event
PE = Post Event]],"[AE] Proceed to Next Stage")</f>
        <v>1</v>
      </c>
      <c r="O17" s="165">
        <f>COUNTIF(Table14[[#All],[TA Followup Action
* AE = Actual Event
PE = Post Event]],"[AE] Consider for other roles")</f>
        <v>0</v>
      </c>
      <c r="P17" s="165">
        <f>COUNTIF(Table14[[#All],[TA Followup Action
* AE = Actual Event
PE = Post Event]],"[PE] KIV")</f>
        <v>0</v>
      </c>
      <c r="Q17" s="165">
        <f>COUNTIF(Table14[[#All],[TA Followup Action
* AE = Actual Event
PE = Post Event]],"[PE] Shortlisted for Interview")</f>
        <v>13</v>
      </c>
      <c r="R17" s="166">
        <f>COUNTIF(Table14[[#All],[TA Followup Action
* AE = Actual Event
PE = Post Event]],"[PE] Not Shortlisted for Interview")</f>
        <v>0</v>
      </c>
      <c r="S17" s="166">
        <f>COUNTIF(Table14[[#All],[TA Followup Action
* AE = Actual Event
PE = Post Event]],"[PE] Interview Fail")</f>
        <v>0</v>
      </c>
      <c r="T17" s="166">
        <f>COUNTIF(Table14[[#All],[TA Followup Action
* AE = Actual Event
PE = Post Event]],"[PE] Pre-offer")</f>
        <v>0</v>
      </c>
      <c r="U17" s="166">
        <f>COUNTIF(Table14[[#All],[TA Followup Action
* AE = Actual Event
PE = Post Event]],"[PE] Accept Offer")</f>
        <v>0</v>
      </c>
      <c r="V17" s="168">
        <f>COUNTIF(Table14[[#All],[TA Followup Action
* AE = Actual Event
PE = Post Event]],"[AE] Reject Offer")</f>
        <v>0</v>
      </c>
    </row>
    <row r="18" spans="2:22" ht="24.95" customHeight="1" thickBot="1">
      <c r="B18" s="169" t="s">
        <v>49</v>
      </c>
      <c r="C18" s="170" t="s">
        <v>53</v>
      </c>
      <c r="D18" s="170" t="s">
        <v>37</v>
      </c>
      <c r="E18" s="171" t="s">
        <v>55</v>
      </c>
      <c r="F18" s="172">
        <f>COUNTBLANK(Table15[[#All],[TA on Duty]])+COUNTA(Table15[[#All],[TA on Duty]])-1</f>
        <v>32</v>
      </c>
      <c r="G18" s="173">
        <f>COUNTA(Table15[[#All],[TA on Duty]])-1</f>
        <v>22</v>
      </c>
      <c r="H18" s="174">
        <f t="shared" si="2"/>
        <v>10</v>
      </c>
      <c r="I18" s="174"/>
      <c r="J18" s="174">
        <f>COUNTIF(Table15[[#All],[TA Followup Action
* AE = Actual Event
PE = Post Event]],"[PE] Withdrawn")</f>
        <v>3</v>
      </c>
      <c r="K18" s="174">
        <f>COUNTIF(Table15[[#All],[TA Followup Action
* AE = Actual Event
PE = Post Event]],"[AE] Failed Screening Questions")</f>
        <v>1</v>
      </c>
      <c r="L18" s="175">
        <f>COUNTIF(Table15[[#All],[TA Followup Action
* AE = Actual Event
PE = Post Event]],"[AE] Failed Interview &amp; Provide Reasons")</f>
        <v>0</v>
      </c>
      <c r="M18" s="175">
        <f t="shared" si="3"/>
        <v>22</v>
      </c>
      <c r="N18" s="173">
        <f>COUNTIF(Table15[[#All],[TA Followup Action
* AE = Actual Event
PE = Post Event]],"[AE] Proceed to Next Stage")</f>
        <v>2</v>
      </c>
      <c r="O18" s="173">
        <f>COUNTIF(Table15[[#All],[TA Followup Action
* AE = Actual Event
PE = Post Event]],"[AE] Consider for other roles")</f>
        <v>0</v>
      </c>
      <c r="P18" s="173">
        <f>COUNTIF(Table15[[#All],[TA Followup Action
* AE = Actual Event
PE = Post Event]],"[PE] KIV")</f>
        <v>0</v>
      </c>
      <c r="Q18" s="173">
        <f>COUNTIF(Table15[[#All],[TA Followup Action
* AE = Actual Event
PE = Post Event]],"[PE] Shortlisted for Interview")</f>
        <v>11</v>
      </c>
      <c r="R18" s="174">
        <f>COUNTIF(Table15[[#All],[TA Followup Action
* AE = Actual Event
PE = Post Event]],"[PE] Not Shortlisted for Interview")</f>
        <v>9</v>
      </c>
      <c r="S18" s="174">
        <f>COUNTIF(Table15[[#All],[TA Followup Action
* AE = Actual Event
PE = Post Event]],"[PE] Interview Fail")</f>
        <v>0</v>
      </c>
      <c r="T18" s="174">
        <f>COUNTIF(Table15[[#All],[TA Followup Action
* AE = Actual Event
PE = Post Event]],"[PE] Pre-offer")</f>
        <v>0</v>
      </c>
      <c r="U18" s="174">
        <f>COUNTIF(Table15[[#All],[TA Followup Action
* AE = Actual Event
PE = Post Event]],"[PE] Accept Offer")</f>
        <v>0</v>
      </c>
      <c r="V18" s="176">
        <f>COUNTIF(Table15[[#All],[TA Followup Action
* AE = Actual Event
PE = Post Event]],"[AE] Reject Offer")</f>
        <v>0</v>
      </c>
    </row>
    <row r="19" spans="2:22" ht="50.25" customHeight="1" thickBot="1">
      <c r="B19" s="180" t="s">
        <v>56</v>
      </c>
      <c r="C19" s="181" t="s">
        <v>57</v>
      </c>
      <c r="D19" s="182" t="s">
        <v>58</v>
      </c>
      <c r="E19" s="183" t="s">
        <v>59</v>
      </c>
      <c r="F19" s="172">
        <f>COUNTBLANK(Table1617[[#All],[TA on Duty]])+COUNTA(Table1617[[#All],[TA on Duty]])-1</f>
        <v>173</v>
      </c>
      <c r="G19" s="173">
        <f>COUNTA(Table1617[[#All],[TA on Duty]])-1</f>
        <v>66</v>
      </c>
      <c r="H19" s="174">
        <f t="shared" si="2"/>
        <v>107</v>
      </c>
      <c r="I19" s="184"/>
      <c r="J19" s="174">
        <f>COUNTIF(Table1617[[#All],[TA Followup Action
* AE = Actual Event
PE = Post Event]],"[PE] Withdrawn")</f>
        <v>39</v>
      </c>
      <c r="K19" s="174">
        <f>COUNTIF(Table1617[[#All],[TA Followup Action
* AE = Actual Event
PE = Post Event]],"[AE] Failed Screening Questions")</f>
        <v>0</v>
      </c>
      <c r="L19" s="175">
        <f>COUNTIF(Table1617[[#All],[TA Followup Action
* AE = Actual Event
PE = Post Event]],"[AE] Failed Interview &amp; Provide Reasons")</f>
        <v>6</v>
      </c>
      <c r="M19" s="175">
        <f>SUM(N19:V19)</f>
        <v>62</v>
      </c>
      <c r="N19" s="173">
        <f>COUNTIF(Table1617[[#All],[TA Followup Action
* AE = Actual Event
PE = Post Event]],"[AE] Proceed to Next Stage")</f>
        <v>39</v>
      </c>
      <c r="O19" s="173">
        <f>COUNTIF(Table1617[[#All],[TA Followup Action
* AE = Actual Event
PE = Post Event]],"[AE] Consider for other roles")</f>
        <v>1</v>
      </c>
      <c r="P19" s="173">
        <f>COUNTIF(Table1617[[#All],[TA Followup Action
* AE = Actual Event
PE = Post Event]],"[PE] KIV")</f>
        <v>19</v>
      </c>
      <c r="Q19" s="173">
        <f>COUNTIF(Table1617[[#All],[TA Followup Action
* AE = Actual Event
PE = Post Event]],"[PE] Shortlisted for Interview")</f>
        <v>0</v>
      </c>
      <c r="R19" s="174">
        <f>COUNTIF(Table1617[[#All],[TA Followup Action
* AE = Actual Event
PE = Post Event]],"[PE] Not Shortlisted for Interview")</f>
        <v>0</v>
      </c>
      <c r="S19" s="174">
        <f>COUNTIF(Table1617[[#All],[TA Followup Action
* AE = Actual Event
PE = Post Event]],"[PE] Interview Fail")</f>
        <v>0</v>
      </c>
      <c r="T19" s="174">
        <f>COUNTIF(Table1617[[#All],[TA Followup Action
* AE = Actual Event
PE = Post Event]],"[PE] Pre-offer")</f>
        <v>0</v>
      </c>
      <c r="U19" s="174">
        <f>COUNTIF(Table1617[[#All],[TA Followup Action
* AE = Actual Event
PE = Post Event]],"[PE] Accept Offer")</f>
        <v>3</v>
      </c>
      <c r="V19" s="176">
        <f>COUNTIF(Table1617[[#All],[TA Followup Action
* AE = Actual Event
PE = Post Event]],"[AE] Reject Offer")</f>
        <v>0</v>
      </c>
    </row>
    <row r="21" spans="2:22" s="185" customFormat="1" ht="24.95" customHeight="1">
      <c r="E21" s="186" t="s">
        <v>60</v>
      </c>
      <c r="F21" s="187">
        <f>SUM(F4:F19)</f>
        <v>341</v>
      </c>
      <c r="G21" s="187">
        <f>SUM(G4:G19)</f>
        <v>184</v>
      </c>
      <c r="H21" s="187">
        <f>SUM(H4:H19)</f>
        <v>157</v>
      </c>
      <c r="I21" s="188">
        <f>SUM(I4:I19)</f>
        <v>0</v>
      </c>
      <c r="J21" s="188">
        <f>SUM(J4:J19)</f>
        <v>53</v>
      </c>
      <c r="K21" s="189">
        <f t="shared" ref="K21:U21" si="4">SUM(K4:K19)</f>
        <v>11</v>
      </c>
      <c r="L21" s="189">
        <f t="shared" si="4"/>
        <v>12</v>
      </c>
      <c r="M21" s="189"/>
      <c r="N21" s="189">
        <f t="shared" si="4"/>
        <v>69</v>
      </c>
      <c r="O21" s="189">
        <f t="shared" si="4"/>
        <v>3</v>
      </c>
      <c r="P21" s="190">
        <f t="shared" si="4"/>
        <v>24</v>
      </c>
      <c r="Q21" s="190">
        <f t="shared" si="4"/>
        <v>38</v>
      </c>
      <c r="R21" s="190">
        <f t="shared" si="4"/>
        <v>19</v>
      </c>
      <c r="S21" s="190">
        <f t="shared" si="4"/>
        <v>2</v>
      </c>
      <c r="T21" s="190">
        <f t="shared" si="4"/>
        <v>3</v>
      </c>
      <c r="U21" s="190">
        <f t="shared" si="4"/>
        <v>3</v>
      </c>
      <c r="V21" s="190">
        <f>SUM(V4:V19)</f>
        <v>0</v>
      </c>
    </row>
    <row r="22" spans="2:22" ht="24.95" customHeight="1">
      <c r="P22" s="129"/>
    </row>
  </sheetData>
  <sheetProtection algorithmName="SHA-512" hashValue="bO2JdzmL3bl/DXgXjOLxgRpSYUeI5SKsQWtekK/9uhZGCBgLKfwxca9gYEXtPY4C+pRAP6f5/bL9YuXje0UQjA==" saltValue="2npyY7Y8m5prASFdEmYsuQ==" spinCount="100000" sheet="1" objects="1" scenarios="1"/>
  <mergeCells count="3">
    <mergeCell ref="P2:V2"/>
    <mergeCell ref="I2:J2"/>
    <mergeCell ref="K2:O2"/>
  </mergeCells>
  <hyperlinks>
    <hyperlink ref="E4" location="'Data Analytics Consultant'!A1" display="Data Analytics Consultant (NuCleus)" xr:uid="{00000000-0004-0000-0000-000000000000}"/>
    <hyperlink ref="E5" location="'Java  .NET Software Engineer'!A1" display="Java/ .NET Software Engineer (NuCleus)" xr:uid="{00000000-0004-0000-0000-000001000000}"/>
    <hyperlink ref="E6" location="'System Engineer'!A1" display="System Engineer" xr:uid="{00000000-0004-0000-0000-000002000000}"/>
    <hyperlink ref="E7" location="'Helpdesk Engineer'!A1" display="Helpdesk Engineer" xr:uid="{00000000-0004-0000-0000-000003000000}"/>
    <hyperlink ref="E8" location="'Network Engineer'!A1" display="Network Engineer" xr:uid="{00000000-0004-0000-0000-000004000000}"/>
    <hyperlink ref="E9" location="'Data Management Consultant'!A1" display="Data Management Consultant" xr:uid="{00000000-0004-0000-0000-000005000000}"/>
    <hyperlink ref="E10" location="'Java_.NET Software Engineer'!A1" display="Java/ .NET Software Engineer" xr:uid="{00000000-0004-0000-0000-000006000000}"/>
    <hyperlink ref="E12" location="'PKI_IAM Security Consultant'!A1" display="PKI/ IAM Security Consultant" xr:uid="{00000000-0004-0000-0000-000007000000}"/>
    <hyperlink ref="E13" location="'Systems_Network IT Security'!A1" display="Systems/ Network IT Security Consultant" xr:uid="{00000000-0004-0000-0000-000008000000}"/>
    <hyperlink ref="E14" location="'GRC Security Consultant'!A1" display="GRC Security Consultant" xr:uid="{00000000-0004-0000-0000-000009000000}"/>
    <hyperlink ref="E15" location="'T_DevOps_Cloud Ops Engineer'!A1" display="DevOps/ Cloud Ops Engineer" xr:uid="{00000000-0004-0000-0000-00000A000000}"/>
    <hyperlink ref="E16" location="'T_System Engineer'!A1" display="System Engineer" xr:uid="{00000000-0004-0000-0000-00000B000000}"/>
    <hyperlink ref="E17" location="'T_Associate Network Consultant'!A1" display="Associate Network Consultant" xr:uid="{00000000-0004-0000-0000-00000C000000}"/>
    <hyperlink ref="E18" location="'T_Associate Business Analyst '!A1" display="Associate Business Analyst " xr:uid="{00000000-0004-0000-0000-00000D000000}"/>
    <hyperlink ref="E11" location="'Project Manager'!A1" display="Data Analytics/ Java/ .NET Project Manager" xr:uid="{00000000-0004-0000-0000-00000E000000}"/>
    <hyperlink ref="E19" location="SGUT_P!A1" display="SGUT_P" xr:uid="{00000000-0004-0000-0000-00000F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tint="-0.499984740745262"/>
  </sheetPr>
  <dimension ref="B1:O19"/>
  <sheetViews>
    <sheetView topLeftCell="F1" zoomScale="85" zoomScaleNormal="85" workbookViewId="0">
      <selection activeCell="I1" sqref="I1:K1048576"/>
    </sheetView>
  </sheetViews>
  <sheetFormatPr defaultColWidth="8.5703125" defaultRowHeight="24.95" customHeight="1"/>
  <cols>
    <col min="1" max="1" width="8.5703125" style="13"/>
    <col min="2" max="2" width="8.5703125" style="13" customWidth="1"/>
    <col min="3" max="3" width="23.85546875" style="13" bestFit="1" customWidth="1"/>
    <col min="4" max="4" width="12.42578125" style="13" customWidth="1"/>
    <col min="5" max="5" width="26.140625" style="13" bestFit="1" customWidth="1"/>
    <col min="6" max="6" width="28.140625" style="13" customWidth="1"/>
    <col min="7" max="7" width="49.5703125" style="13" customWidth="1"/>
    <col min="8" max="8" width="8.5703125" style="13"/>
    <col min="9" max="9" width="10.140625" style="13" customWidth="1"/>
    <col min="10" max="10" width="24.5703125" style="13" customWidth="1"/>
    <col min="11" max="11" width="13.5703125" style="13" customWidth="1"/>
    <col min="12" max="14" width="8.5703125" style="13"/>
    <col min="15" max="15" width="33.7109375" style="13" bestFit="1" customWidth="1"/>
    <col min="16" max="16384" width="8.5703125" style="13"/>
  </cols>
  <sheetData>
    <row r="1" spans="2:15" ht="12.95" thickBot="1"/>
    <row r="2" spans="2:15" ht="30" customHeight="1" thickBot="1">
      <c r="B2" s="30" t="s">
        <v>3</v>
      </c>
      <c r="C2" s="31" t="s">
        <v>4</v>
      </c>
      <c r="D2" s="31" t="s">
        <v>61</v>
      </c>
      <c r="E2" s="31" t="s">
        <v>62</v>
      </c>
      <c r="F2" s="31" t="s">
        <v>5</v>
      </c>
      <c r="G2" s="32" t="s">
        <v>6</v>
      </c>
      <c r="I2" s="204" t="s">
        <v>63</v>
      </c>
      <c r="J2" s="205"/>
      <c r="K2" s="206"/>
      <c r="O2" s="14" t="s">
        <v>64</v>
      </c>
    </row>
    <row r="3" spans="2:15" ht="24.95" customHeight="1" thickBot="1">
      <c r="B3" s="33" t="s">
        <v>23</v>
      </c>
      <c r="C3" s="34" t="s">
        <v>24</v>
      </c>
      <c r="D3" s="213" t="s">
        <v>65</v>
      </c>
      <c r="E3" s="210" t="s">
        <v>66</v>
      </c>
      <c r="F3" s="34" t="s">
        <v>25</v>
      </c>
      <c r="G3" s="35" t="s">
        <v>26</v>
      </c>
      <c r="I3" s="207"/>
      <c r="J3" s="208"/>
      <c r="K3" s="209"/>
      <c r="O3" s="15" t="s">
        <v>67</v>
      </c>
    </row>
    <row r="4" spans="2:15" ht="30.6" customHeight="1" thickBot="1">
      <c r="B4" s="27" t="s">
        <v>23</v>
      </c>
      <c r="C4" s="36" t="s">
        <v>27</v>
      </c>
      <c r="D4" s="214"/>
      <c r="E4" s="212"/>
      <c r="F4" s="36" t="s">
        <v>25</v>
      </c>
      <c r="G4" s="37" t="s">
        <v>28</v>
      </c>
      <c r="I4" s="16" t="s">
        <v>68</v>
      </c>
      <c r="J4" s="17" t="s">
        <v>69</v>
      </c>
      <c r="K4" s="18" t="s">
        <v>70</v>
      </c>
      <c r="O4" s="19" t="s">
        <v>71</v>
      </c>
    </row>
    <row r="5" spans="2:15" ht="24.95" customHeight="1">
      <c r="B5" s="33" t="s">
        <v>23</v>
      </c>
      <c r="C5" s="34" t="s">
        <v>29</v>
      </c>
      <c r="D5" s="213" t="s">
        <v>72</v>
      </c>
      <c r="E5" s="191" t="s">
        <v>30</v>
      </c>
      <c r="F5" s="34" t="s">
        <v>30</v>
      </c>
      <c r="G5" s="35" t="s">
        <v>31</v>
      </c>
      <c r="I5" s="20" t="s">
        <v>25</v>
      </c>
      <c r="J5" s="21" t="s">
        <v>73</v>
      </c>
      <c r="K5" s="22" t="s">
        <v>74</v>
      </c>
      <c r="O5" s="19" t="s">
        <v>75</v>
      </c>
    </row>
    <row r="6" spans="2:15" ht="24.95" customHeight="1">
      <c r="B6" s="20" t="s">
        <v>23</v>
      </c>
      <c r="C6" s="38" t="s">
        <v>29</v>
      </c>
      <c r="D6" s="215"/>
      <c r="E6" s="39" t="s">
        <v>32</v>
      </c>
      <c r="F6" s="38" t="s">
        <v>32</v>
      </c>
      <c r="G6" s="40" t="s">
        <v>33</v>
      </c>
      <c r="I6" s="20" t="s">
        <v>76</v>
      </c>
      <c r="J6" s="21" t="s">
        <v>77</v>
      </c>
      <c r="K6" s="22" t="s">
        <v>78</v>
      </c>
      <c r="O6" s="19" t="s">
        <v>79</v>
      </c>
    </row>
    <row r="7" spans="2:15" ht="24.95" customHeight="1">
      <c r="B7" s="24" t="s">
        <v>23</v>
      </c>
      <c r="C7" s="41" t="s">
        <v>29</v>
      </c>
      <c r="D7" s="215"/>
      <c r="E7" s="39" t="s">
        <v>34</v>
      </c>
      <c r="F7" s="38" t="s">
        <v>34</v>
      </c>
      <c r="G7" s="42" t="s">
        <v>35</v>
      </c>
      <c r="I7" s="20" t="s">
        <v>80</v>
      </c>
      <c r="J7" s="21" t="s">
        <v>81</v>
      </c>
      <c r="K7" s="22" t="s">
        <v>82</v>
      </c>
      <c r="O7" s="19" t="s">
        <v>83</v>
      </c>
    </row>
    <row r="8" spans="2:15" ht="24.95" customHeight="1">
      <c r="B8" s="20" t="s">
        <v>23</v>
      </c>
      <c r="C8" s="38" t="s">
        <v>36</v>
      </c>
      <c r="D8" s="215"/>
      <c r="E8" s="39" t="s">
        <v>37</v>
      </c>
      <c r="F8" s="38" t="s">
        <v>37</v>
      </c>
      <c r="G8" s="40" t="s">
        <v>38</v>
      </c>
      <c r="I8" s="20" t="s">
        <v>65</v>
      </c>
      <c r="J8" s="21" t="s">
        <v>84</v>
      </c>
      <c r="K8" s="22" t="s">
        <v>85</v>
      </c>
      <c r="O8" s="19" t="s">
        <v>86</v>
      </c>
    </row>
    <row r="9" spans="2:15" ht="24.95" customHeight="1">
      <c r="B9" s="20" t="s">
        <v>23</v>
      </c>
      <c r="C9" s="38" t="s">
        <v>36</v>
      </c>
      <c r="D9" s="215"/>
      <c r="E9" s="39" t="s">
        <v>39</v>
      </c>
      <c r="F9" s="38" t="s">
        <v>39</v>
      </c>
      <c r="G9" s="40" t="s">
        <v>40</v>
      </c>
      <c r="I9" s="20" t="s">
        <v>30</v>
      </c>
      <c r="J9" s="21" t="s">
        <v>87</v>
      </c>
      <c r="K9" s="22" t="s">
        <v>88</v>
      </c>
      <c r="O9" s="19" t="s">
        <v>89</v>
      </c>
    </row>
    <row r="10" spans="2:15" ht="24.95" customHeight="1" thickBot="1">
      <c r="B10" s="27" t="s">
        <v>23</v>
      </c>
      <c r="C10" s="36" t="s">
        <v>36</v>
      </c>
      <c r="D10" s="214"/>
      <c r="E10" s="43" t="s">
        <v>41</v>
      </c>
      <c r="F10" s="36" t="s">
        <v>41</v>
      </c>
      <c r="G10" s="37" t="s">
        <v>42</v>
      </c>
      <c r="I10" s="20" t="s">
        <v>32</v>
      </c>
      <c r="J10" s="21" t="s">
        <v>90</v>
      </c>
      <c r="K10" s="22" t="s">
        <v>91</v>
      </c>
      <c r="O10" s="19" t="s">
        <v>92</v>
      </c>
    </row>
    <row r="11" spans="2:15">
      <c r="B11" s="33" t="s">
        <v>56</v>
      </c>
      <c r="C11" s="44" t="s">
        <v>93</v>
      </c>
      <c r="D11" s="213" t="s">
        <v>65</v>
      </c>
      <c r="E11" s="191" t="s">
        <v>94</v>
      </c>
      <c r="F11" s="34" t="s">
        <v>58</v>
      </c>
      <c r="G11" s="35" t="s">
        <v>59</v>
      </c>
      <c r="I11" s="20" t="s">
        <v>34</v>
      </c>
      <c r="J11" s="21" t="s">
        <v>95</v>
      </c>
      <c r="K11" s="22" t="s">
        <v>96</v>
      </c>
      <c r="O11" s="19" t="s">
        <v>97</v>
      </c>
    </row>
    <row r="12" spans="2:15" ht="24.95" customHeight="1">
      <c r="B12" s="45" t="s">
        <v>23</v>
      </c>
      <c r="C12" s="46" t="s">
        <v>43</v>
      </c>
      <c r="D12" s="215"/>
      <c r="E12" s="47" t="s">
        <v>98</v>
      </c>
      <c r="F12" s="46" t="s">
        <v>41</v>
      </c>
      <c r="G12" s="48" t="s">
        <v>44</v>
      </c>
      <c r="I12" s="20" t="s">
        <v>37</v>
      </c>
      <c r="J12" s="21" t="s">
        <v>99</v>
      </c>
      <c r="K12" s="22" t="s">
        <v>100</v>
      </c>
      <c r="O12" s="19" t="s">
        <v>101</v>
      </c>
    </row>
    <row r="13" spans="2:15" ht="24.95" customHeight="1">
      <c r="B13" s="20" t="s">
        <v>23</v>
      </c>
      <c r="C13" s="38" t="s">
        <v>43</v>
      </c>
      <c r="D13" s="215"/>
      <c r="E13" s="39" t="s">
        <v>45</v>
      </c>
      <c r="F13" s="38" t="s">
        <v>45</v>
      </c>
      <c r="G13" s="40" t="s">
        <v>46</v>
      </c>
      <c r="I13" s="20" t="s">
        <v>52</v>
      </c>
      <c r="J13" s="21" t="s">
        <v>102</v>
      </c>
      <c r="K13" s="22" t="s">
        <v>103</v>
      </c>
      <c r="O13" s="19" t="s">
        <v>104</v>
      </c>
    </row>
    <row r="14" spans="2:15" ht="24.95" customHeight="1" thickBot="1">
      <c r="B14" s="27" t="s">
        <v>23</v>
      </c>
      <c r="C14" s="36" t="s">
        <v>47</v>
      </c>
      <c r="D14" s="214"/>
      <c r="E14" s="43" t="s">
        <v>98</v>
      </c>
      <c r="F14" s="41" t="s">
        <v>41</v>
      </c>
      <c r="G14" s="42" t="s">
        <v>48</v>
      </c>
      <c r="I14" s="20" t="s">
        <v>105</v>
      </c>
      <c r="J14" s="21" t="s">
        <v>106</v>
      </c>
      <c r="K14" s="22" t="s">
        <v>107</v>
      </c>
      <c r="O14" s="23" t="s">
        <v>108</v>
      </c>
    </row>
    <row r="15" spans="2:15" ht="28.5" customHeight="1">
      <c r="B15" s="45" t="s">
        <v>56</v>
      </c>
      <c r="C15" s="49" t="s">
        <v>109</v>
      </c>
      <c r="D15" s="210" t="s">
        <v>72</v>
      </c>
      <c r="E15" s="44" t="s">
        <v>58</v>
      </c>
      <c r="F15" s="50" t="s">
        <v>58</v>
      </c>
      <c r="G15" s="35" t="s">
        <v>59</v>
      </c>
      <c r="I15" s="20" t="s">
        <v>72</v>
      </c>
      <c r="J15" s="21" t="s">
        <v>110</v>
      </c>
      <c r="K15" s="22" t="s">
        <v>111</v>
      </c>
    </row>
    <row r="16" spans="2:15" ht="24.95" customHeight="1">
      <c r="B16" s="51" t="s">
        <v>49</v>
      </c>
      <c r="C16" s="193" t="s">
        <v>50</v>
      </c>
      <c r="D16" s="211"/>
      <c r="E16" s="47" t="s">
        <v>34</v>
      </c>
      <c r="F16" s="46" t="s">
        <v>34</v>
      </c>
      <c r="G16" s="52" t="s">
        <v>51</v>
      </c>
      <c r="I16" s="20" t="s">
        <v>41</v>
      </c>
      <c r="J16" s="21" t="s">
        <v>112</v>
      </c>
      <c r="K16" s="22" t="s">
        <v>113</v>
      </c>
    </row>
    <row r="17" spans="2:11" ht="24.95" customHeight="1">
      <c r="B17" s="20" t="s">
        <v>49</v>
      </c>
      <c r="C17" s="38" t="s">
        <v>50</v>
      </c>
      <c r="D17" s="211"/>
      <c r="E17" s="39" t="s">
        <v>114</v>
      </c>
      <c r="F17" s="38" t="s">
        <v>52</v>
      </c>
      <c r="G17" s="40" t="s">
        <v>31</v>
      </c>
      <c r="I17" s="24" t="s">
        <v>45</v>
      </c>
      <c r="J17" s="25" t="s">
        <v>115</v>
      </c>
      <c r="K17" s="26" t="s">
        <v>116</v>
      </c>
    </row>
    <row r="18" spans="2:11" ht="24.95" customHeight="1">
      <c r="B18" s="20" t="s">
        <v>49</v>
      </c>
      <c r="C18" s="38" t="s">
        <v>53</v>
      </c>
      <c r="D18" s="211"/>
      <c r="E18" s="39" t="s">
        <v>117</v>
      </c>
      <c r="F18" s="38" t="s">
        <v>52</v>
      </c>
      <c r="G18" s="40" t="s">
        <v>54</v>
      </c>
      <c r="I18" s="24" t="s">
        <v>118</v>
      </c>
      <c r="J18" s="25" t="s">
        <v>119</v>
      </c>
      <c r="K18" s="26" t="s">
        <v>120</v>
      </c>
    </row>
    <row r="19" spans="2:11" ht="24.95" customHeight="1" thickBot="1">
      <c r="B19" s="27" t="s">
        <v>49</v>
      </c>
      <c r="C19" s="36" t="s">
        <v>53</v>
      </c>
      <c r="D19" s="212"/>
      <c r="E19" s="192" t="s">
        <v>121</v>
      </c>
      <c r="F19" s="36" t="s">
        <v>37</v>
      </c>
      <c r="G19" s="37" t="s">
        <v>55</v>
      </c>
      <c r="I19" s="27" t="s">
        <v>122</v>
      </c>
      <c r="J19" s="28" t="s">
        <v>123</v>
      </c>
      <c r="K19" s="29" t="s">
        <v>124</v>
      </c>
    </row>
  </sheetData>
  <mergeCells count="6">
    <mergeCell ref="I2:K3"/>
    <mergeCell ref="D15:D19"/>
    <mergeCell ref="D3:D4"/>
    <mergeCell ref="D5:D10"/>
    <mergeCell ref="D11:D14"/>
    <mergeCell ref="E3:E4"/>
  </mergeCells>
  <hyperlinks>
    <hyperlink ref="G3" location="'Data Analytics Consultant'!A1" display="Data Analytics Consultant (NuCleus)" xr:uid="{00000000-0004-0000-0100-000000000000}"/>
    <hyperlink ref="G4" location="'Java  .NET Software Engineer'!A1" display="Java/ .NET Software Engineer (NuCleus)" xr:uid="{00000000-0004-0000-0100-000001000000}"/>
    <hyperlink ref="G5" location="'System Engineer'!A1" display="System Engineer" xr:uid="{00000000-0004-0000-0100-000002000000}"/>
    <hyperlink ref="G6" location="'Helpdesk Engineer'!A1" display="Helpdesk Engineer" xr:uid="{00000000-0004-0000-0100-000003000000}"/>
    <hyperlink ref="G7" location="'Network Engineer'!A1" display="Network Engineer" xr:uid="{00000000-0004-0000-0100-000004000000}"/>
    <hyperlink ref="G8" location="'Data Management Consultant'!A1" display="Data Management Consultant" xr:uid="{00000000-0004-0000-0100-000005000000}"/>
    <hyperlink ref="G9" location="'Java_.NET Software Engineer'!A1" display="Java/ .NET Software Engineer" xr:uid="{00000000-0004-0000-0100-000006000000}"/>
    <hyperlink ref="G12" location="'PKI_IAM Security Consultant'!A1" display="PKI/ IAM Security Consultant" xr:uid="{00000000-0004-0000-0100-000007000000}"/>
    <hyperlink ref="G13" location="'Systems_Network IT Security'!A1" display="Systems/ Network IT Security Consultant" xr:uid="{00000000-0004-0000-0100-000008000000}"/>
    <hyperlink ref="G14" location="'GRC Security Consultant'!A1" display="GRC Security Consultant" xr:uid="{00000000-0004-0000-0100-000009000000}"/>
    <hyperlink ref="G16" location="'T_DevOps_Cloud Ops Engineer'!A1" display="DevOps/ Cloud Ops Engineer" xr:uid="{00000000-0004-0000-0100-00000A000000}"/>
    <hyperlink ref="G17" location="'T_System Engineer'!A1" display="System Engineer" xr:uid="{00000000-0004-0000-0100-00000B000000}"/>
    <hyperlink ref="G18" location="'T_Associate Network Consultant'!A1" display="Associate Network Consultant" xr:uid="{00000000-0004-0000-0100-00000C000000}"/>
    <hyperlink ref="G19" location="'T_Associate Business Analyst '!A1" display="Associate Business Analyst " xr:uid="{00000000-0004-0000-0100-00000D000000}"/>
    <hyperlink ref="G10" location="'Project Manager'!A1" display="Data Analytics/ Java/ .NET Project Manager" xr:uid="{00000000-0004-0000-0100-00000E000000}"/>
    <hyperlink ref="G11" location="SGUT_P!A1" display="SGUT_P" xr:uid="{00000000-0004-0000-0100-00000F000000}"/>
    <hyperlink ref="G15" location="SGUT_P!A1" display="SGUT_P" xr:uid="{00000000-0004-0000-0100-000010000000}"/>
    <hyperlink ref="J5" r:id="rId1" display="mailto:yanyee.lau@ncs.com.sg" xr:uid="{00000000-0004-0000-0100-000011000000}"/>
    <hyperlink ref="J6" r:id="rId2" display="mailto:keely.shen@ncs.com.sg" xr:uid="{00000000-0004-0000-0100-000012000000}"/>
    <hyperlink ref="J7" r:id="rId3" display="mailto:edward.lim@ncs.com.sg" xr:uid="{00000000-0004-0000-0100-000013000000}"/>
    <hyperlink ref="J8" r:id="rId4" display="mailto:chloe.ong@singtel.com" xr:uid="{00000000-0004-0000-0100-000014000000}"/>
    <hyperlink ref="J9" r:id="rId5" display="mailto:donny.su@ncs.com.sg" xr:uid="{00000000-0004-0000-0100-000015000000}"/>
    <hyperlink ref="J10" r:id="rId6" display="mailto:ace.cheng@ncs.com.sg" xr:uid="{00000000-0004-0000-0100-000016000000}"/>
    <hyperlink ref="J11" r:id="rId7" display="mailto:joyce.lim@ncs.com.sg" xr:uid="{00000000-0004-0000-0100-000017000000}"/>
    <hyperlink ref="J12" r:id="rId8" display="mailto:amanda.tan@ncs.com.sg" xr:uid="{00000000-0004-0000-0100-000018000000}"/>
    <hyperlink ref="J13" r:id="rId9" display="mailto:jaclyn.tan@ncs.com.sg" xr:uid="{00000000-0004-0000-0100-000019000000}"/>
    <hyperlink ref="J14" r:id="rId10" display="mailto:charlotte.goh@ncs.com.sg" xr:uid="{00000000-0004-0000-0100-00001A000000}"/>
    <hyperlink ref="J15" r:id="rId11" display="mailto:sherlynn.tan@singtel.com" xr:uid="{00000000-0004-0000-0100-00001B000000}"/>
    <hyperlink ref="J16" r:id="rId12" display="mailto:jiaxin.chen@ncs.com.sg" xr:uid="{00000000-0004-0000-0100-00001C000000}"/>
    <hyperlink ref="J17" r:id="rId13" display="mailto:mandy.lim@ncs.com.sg" xr:uid="{00000000-0004-0000-0100-00001D000000}"/>
    <hyperlink ref="J18" r:id="rId14" display="mailto:denise.koong@ncs.com.sg" xr:uid="{00000000-0004-0000-0100-00001E000000}"/>
    <hyperlink ref="J19" r:id="rId15" display="mailto:jessica.ho@trustwave.com" xr:uid="{00000000-0004-0000-0100-00001F000000}"/>
  </hyperlinks>
  <pageMargins left="0.7" right="0.7" top="0.75" bottom="0.75" header="0.3" footer="0.3"/>
  <pageSetup paperSize="9"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A1:V187"/>
  <sheetViews>
    <sheetView topLeftCell="A13" zoomScale="80" zoomScaleNormal="80" workbookViewId="0">
      <pane xSplit="3" topLeftCell="F1" activePane="topRight" state="frozen"/>
      <selection pane="topRight" activeCell="C18" sqref="C18"/>
    </sheetView>
  </sheetViews>
  <sheetFormatPr defaultColWidth="8.7109375" defaultRowHeight="14.45"/>
  <cols>
    <col min="1" max="1" width="5.5703125" style="83" customWidth="1"/>
    <col min="2" max="2" width="4.140625" style="87" bestFit="1" customWidth="1"/>
    <col min="3" max="3" width="35.42578125" style="83" bestFit="1" customWidth="1"/>
    <col min="4" max="4" width="15.5703125" style="83" customWidth="1"/>
    <col min="5" max="5" width="25.85546875" style="83" customWidth="1"/>
    <col min="6" max="6" width="16.5703125" style="83" customWidth="1"/>
    <col min="7" max="7" width="15" style="83" customWidth="1"/>
    <col min="8" max="8" width="19.42578125" style="83" customWidth="1"/>
    <col min="9" max="9" width="19.5703125" style="83" bestFit="1" customWidth="1"/>
    <col min="10" max="11" width="10.5703125" style="83" hidden="1" customWidth="1"/>
    <col min="12" max="12" width="20.28515625" style="83" customWidth="1"/>
    <col min="13" max="13" width="24.42578125" style="83" hidden="1" customWidth="1"/>
    <col min="14" max="14" width="20.5703125" style="83" hidden="1" customWidth="1"/>
    <col min="15" max="15" width="18.85546875" style="118" customWidth="1"/>
    <col min="16" max="16" width="34.7109375" style="3" bestFit="1" customWidth="1"/>
    <col min="17" max="17" width="24.5703125" style="3" customWidth="1"/>
    <col min="18" max="18" width="20.42578125" style="3" bestFit="1" customWidth="1"/>
    <col min="19" max="19" width="11.42578125" style="3" customWidth="1"/>
    <col min="20" max="21" width="8.7109375" style="3"/>
    <col min="22" max="23" width="40.140625" style="3" bestFit="1" customWidth="1"/>
    <col min="24" max="16384" width="8.7109375" style="3"/>
  </cols>
  <sheetData>
    <row r="1" spans="2:22" ht="14.45" hidden="1" customHeight="1">
      <c r="B1" s="83"/>
      <c r="O1" s="83"/>
    </row>
    <row r="2" spans="2:22" ht="14.45" hidden="1" customHeight="1">
      <c r="B2" s="83"/>
      <c r="C2" s="85" t="s">
        <v>5</v>
      </c>
      <c r="D2" s="216" t="s">
        <v>58</v>
      </c>
      <c r="E2" s="217"/>
      <c r="F2" s="217"/>
      <c r="G2" s="217"/>
      <c r="H2" s="218"/>
      <c r="L2" s="105" t="s">
        <v>125</v>
      </c>
      <c r="M2" s="106">
        <f>COUNTA(Table1617[[#All],[TA on Duty]])+COUNTBLANK(Table1617[[#All],[TA on Duty]])-1</f>
        <v>173</v>
      </c>
      <c r="O2" s="83"/>
    </row>
    <row r="3" spans="2:22" ht="14.45" hidden="1" customHeight="1">
      <c r="B3" s="83"/>
      <c r="C3" s="85" t="s">
        <v>62</v>
      </c>
      <c r="D3" s="216" t="s">
        <v>94</v>
      </c>
      <c r="E3" s="217"/>
      <c r="F3" s="217"/>
      <c r="G3" s="217"/>
      <c r="H3" s="218"/>
      <c r="L3" s="105" t="s">
        <v>8</v>
      </c>
      <c r="M3" s="106">
        <f>COUNTA(Table1617[[#All],[TA on Duty]])-1</f>
        <v>66</v>
      </c>
      <c r="O3" s="83"/>
    </row>
    <row r="4" spans="2:22" ht="56.45" hidden="1" customHeight="1">
      <c r="B4" s="83"/>
      <c r="C4" s="85" t="s">
        <v>126</v>
      </c>
      <c r="D4" s="219" t="s">
        <v>127</v>
      </c>
      <c r="E4" s="220"/>
      <c r="F4" s="220"/>
      <c r="G4" s="220"/>
      <c r="H4" s="221"/>
      <c r="O4" s="83"/>
    </row>
    <row r="5" spans="2:22" ht="14.45" hidden="1" customHeight="1">
      <c r="B5" s="83"/>
      <c r="O5" s="83"/>
    </row>
    <row r="6" spans="2:22" ht="14.45" hidden="1" customHeight="1">
      <c r="B6" s="83"/>
      <c r="C6" s="85"/>
      <c r="D6" s="222" t="s">
        <v>128</v>
      </c>
      <c r="E6" s="223"/>
      <c r="F6" s="223"/>
      <c r="G6" s="223"/>
      <c r="H6" s="224"/>
      <c r="O6" s="83"/>
    </row>
    <row r="7" spans="2:22" ht="29.1" hidden="1" customHeight="1">
      <c r="B7" s="83"/>
      <c r="C7" s="225" t="s">
        <v>129</v>
      </c>
      <c r="D7" s="226" t="s">
        <v>130</v>
      </c>
      <c r="E7" s="226"/>
      <c r="F7" s="226"/>
      <c r="G7" s="227" t="s">
        <v>131</v>
      </c>
      <c r="H7" s="228"/>
      <c r="O7" s="83"/>
    </row>
    <row r="8" spans="2:22" ht="27.6" hidden="1" customHeight="1">
      <c r="B8" s="83"/>
      <c r="C8" s="225"/>
      <c r="D8" s="229" t="s">
        <v>132</v>
      </c>
      <c r="E8" s="229"/>
      <c r="F8" s="229"/>
      <c r="G8" s="230" t="s">
        <v>133</v>
      </c>
      <c r="H8" s="231"/>
      <c r="O8" s="83"/>
    </row>
    <row r="9" spans="2:22" ht="14.45" hidden="1" customHeight="1">
      <c r="B9" s="83"/>
      <c r="C9" s="107" t="s">
        <v>134</v>
      </c>
      <c r="D9" s="232" t="s">
        <v>135</v>
      </c>
      <c r="E9" s="232"/>
      <c r="F9" s="232"/>
      <c r="G9" s="233" t="s">
        <v>136</v>
      </c>
      <c r="H9" s="234"/>
      <c r="O9" s="83"/>
    </row>
    <row r="10" spans="2:22" ht="14.45" hidden="1" customHeight="1">
      <c r="B10" s="83"/>
      <c r="C10" s="107" t="s">
        <v>137</v>
      </c>
      <c r="D10" s="232" t="s">
        <v>138</v>
      </c>
      <c r="E10" s="232"/>
      <c r="F10" s="232"/>
      <c r="G10" s="233" t="s">
        <v>139</v>
      </c>
      <c r="H10" s="234"/>
      <c r="O10" s="83"/>
    </row>
    <row r="11" spans="2:22" ht="14.45" hidden="1" customHeight="1">
      <c r="B11" s="83"/>
      <c r="C11" s="107" t="s">
        <v>140</v>
      </c>
      <c r="D11" s="232" t="s">
        <v>141</v>
      </c>
      <c r="E11" s="232"/>
      <c r="F11" s="232"/>
      <c r="G11" s="233" t="s">
        <v>142</v>
      </c>
      <c r="H11" s="234"/>
      <c r="O11" s="83"/>
    </row>
    <row r="12" spans="2:22" ht="14.45" hidden="1" customHeight="1">
      <c r="B12" s="83"/>
      <c r="O12" s="83"/>
    </row>
    <row r="13" spans="2:22">
      <c r="B13" s="83"/>
      <c r="O13" s="83"/>
    </row>
    <row r="14" spans="2:22" ht="40.5">
      <c r="B14" s="67" t="s">
        <v>143</v>
      </c>
      <c r="C14" s="68" t="s">
        <v>144</v>
      </c>
      <c r="D14" s="68" t="s">
        <v>145</v>
      </c>
      <c r="E14" s="68" t="s">
        <v>146</v>
      </c>
      <c r="F14" s="68" t="s">
        <v>147</v>
      </c>
      <c r="G14" s="68" t="s">
        <v>148</v>
      </c>
      <c r="H14" s="68" t="s">
        <v>149</v>
      </c>
      <c r="I14" s="68" t="s">
        <v>150</v>
      </c>
      <c r="J14" s="68" t="s">
        <v>151</v>
      </c>
      <c r="K14" s="108" t="s">
        <v>152</v>
      </c>
      <c r="L14" s="68" t="s">
        <v>153</v>
      </c>
      <c r="M14" s="109" t="s">
        <v>154</v>
      </c>
      <c r="N14" s="109" t="s">
        <v>155</v>
      </c>
      <c r="O14" s="68" t="s">
        <v>156</v>
      </c>
      <c r="P14" s="1" t="s">
        <v>157</v>
      </c>
      <c r="Q14" s="1" t="s">
        <v>158</v>
      </c>
      <c r="R14" s="4" t="s">
        <v>159</v>
      </c>
      <c r="S14" s="5" t="s">
        <v>160</v>
      </c>
      <c r="V14" s="6" t="s">
        <v>161</v>
      </c>
    </row>
    <row r="15" spans="2:22">
      <c r="B15" s="69">
        <v>1</v>
      </c>
      <c r="C15" s="71" t="s">
        <v>162</v>
      </c>
      <c r="D15" s="71" t="s">
        <v>163</v>
      </c>
      <c r="E15" s="194" t="s">
        <v>164</v>
      </c>
      <c r="F15" s="73">
        <v>82180522</v>
      </c>
      <c r="G15" s="71"/>
      <c r="H15" s="71"/>
      <c r="I15" s="71" t="s">
        <v>165</v>
      </c>
      <c r="J15" s="71" t="s">
        <v>166</v>
      </c>
      <c r="K15" s="71" t="s">
        <v>167</v>
      </c>
      <c r="L15" s="71"/>
      <c r="M15" s="71"/>
      <c r="N15" s="71"/>
      <c r="O15" s="71"/>
      <c r="P15" s="2" t="s">
        <v>83</v>
      </c>
      <c r="Q15" s="2"/>
      <c r="R15" s="2"/>
      <c r="S15" s="7"/>
      <c r="V15" s="66" t="s">
        <v>168</v>
      </c>
    </row>
    <row r="16" spans="2:22">
      <c r="B16" s="69">
        <v>2</v>
      </c>
      <c r="C16" s="71" t="s">
        <v>169</v>
      </c>
      <c r="D16" s="71" t="s">
        <v>163</v>
      </c>
      <c r="E16" s="194" t="s">
        <v>170</v>
      </c>
      <c r="F16" s="73">
        <v>88876710</v>
      </c>
      <c r="G16" s="71"/>
      <c r="H16" s="71"/>
      <c r="I16" s="71" t="s">
        <v>171</v>
      </c>
      <c r="J16" s="71" t="s">
        <v>172</v>
      </c>
      <c r="K16" s="71" t="s">
        <v>173</v>
      </c>
      <c r="L16" s="71"/>
      <c r="M16" s="71"/>
      <c r="N16" s="71"/>
      <c r="O16" s="71"/>
      <c r="P16" s="2" t="s">
        <v>83</v>
      </c>
      <c r="Q16" s="2"/>
      <c r="R16" s="2"/>
      <c r="S16" s="7"/>
      <c r="V16" s="66" t="s">
        <v>174</v>
      </c>
    </row>
    <row r="17" spans="2:22">
      <c r="B17" s="69">
        <v>3</v>
      </c>
      <c r="C17" s="71" t="s">
        <v>175</v>
      </c>
      <c r="D17" s="71" t="s">
        <v>163</v>
      </c>
      <c r="E17" s="194" t="s">
        <v>176</v>
      </c>
      <c r="F17" s="73">
        <v>92348235</v>
      </c>
      <c r="G17" s="71" t="s">
        <v>80</v>
      </c>
      <c r="H17" s="71"/>
      <c r="I17" s="71" t="s">
        <v>165</v>
      </c>
      <c r="J17" s="71" t="s">
        <v>177</v>
      </c>
      <c r="K17" s="71" t="s">
        <v>178</v>
      </c>
      <c r="L17" s="71"/>
      <c r="M17" s="71"/>
      <c r="N17" s="71"/>
      <c r="O17" s="73"/>
      <c r="P17" s="2" t="s">
        <v>75</v>
      </c>
      <c r="Q17" s="2" t="s">
        <v>179</v>
      </c>
      <c r="R17" s="119" t="s">
        <v>180</v>
      </c>
      <c r="S17" s="120"/>
      <c r="V17" s="66" t="s">
        <v>181</v>
      </c>
    </row>
    <row r="18" spans="2:22" ht="14.45" customHeight="1">
      <c r="B18" s="69">
        <v>4</v>
      </c>
      <c r="C18" s="71" t="s">
        <v>182</v>
      </c>
      <c r="D18" s="71" t="s">
        <v>183</v>
      </c>
      <c r="E18" s="194" t="s">
        <v>184</v>
      </c>
      <c r="F18" s="73">
        <v>97861840</v>
      </c>
      <c r="G18" s="71"/>
      <c r="H18" s="71"/>
      <c r="I18" s="71" t="s">
        <v>171</v>
      </c>
      <c r="J18" s="71" t="s">
        <v>185</v>
      </c>
      <c r="K18" s="71" t="s">
        <v>186</v>
      </c>
      <c r="L18" s="71"/>
      <c r="M18" s="71"/>
      <c r="N18" s="71"/>
      <c r="O18" s="73"/>
      <c r="P18" s="2" t="s">
        <v>83</v>
      </c>
      <c r="Q18" s="2"/>
      <c r="R18" s="119"/>
      <c r="S18" s="120"/>
      <c r="V18" s="66" t="s">
        <v>187</v>
      </c>
    </row>
    <row r="19" spans="2:22" ht="14.45" customHeight="1">
      <c r="B19" s="69">
        <v>5</v>
      </c>
      <c r="C19" s="71" t="s">
        <v>188</v>
      </c>
      <c r="D19" s="71" t="s">
        <v>163</v>
      </c>
      <c r="E19" s="194" t="s">
        <v>189</v>
      </c>
      <c r="F19" s="73">
        <v>83992278</v>
      </c>
      <c r="G19" s="71"/>
      <c r="H19" s="71"/>
      <c r="I19" s="71" t="s">
        <v>165</v>
      </c>
      <c r="J19" s="71" t="s">
        <v>190</v>
      </c>
      <c r="K19" s="71" t="s">
        <v>191</v>
      </c>
      <c r="L19" s="71"/>
      <c r="M19" s="71"/>
      <c r="N19" s="71"/>
      <c r="O19" s="73"/>
      <c r="P19" s="2" t="s">
        <v>83</v>
      </c>
      <c r="Q19" s="2"/>
      <c r="R19" s="119"/>
      <c r="S19" s="120"/>
      <c r="V19" s="66" t="s">
        <v>192</v>
      </c>
    </row>
    <row r="20" spans="2:22">
      <c r="B20" s="69">
        <v>6</v>
      </c>
      <c r="C20" s="75" t="s">
        <v>193</v>
      </c>
      <c r="D20" s="75" t="s">
        <v>163</v>
      </c>
      <c r="E20" s="194" t="s">
        <v>194</v>
      </c>
      <c r="F20" s="76">
        <v>98625394</v>
      </c>
      <c r="G20" s="71"/>
      <c r="H20" s="71"/>
      <c r="I20" s="75" t="s">
        <v>171</v>
      </c>
      <c r="J20" s="75" t="s">
        <v>172</v>
      </c>
      <c r="K20" s="71" t="s">
        <v>195</v>
      </c>
      <c r="L20" s="71"/>
      <c r="M20" s="71"/>
      <c r="N20" s="71"/>
      <c r="O20" s="73"/>
      <c r="P20" s="2"/>
      <c r="Q20" s="2"/>
      <c r="R20" s="121" t="s">
        <v>180</v>
      </c>
      <c r="S20" s="122"/>
      <c r="V20" s="66" t="s">
        <v>196</v>
      </c>
    </row>
    <row r="21" spans="2:22" ht="14.45" customHeight="1">
      <c r="B21" s="69">
        <v>7</v>
      </c>
      <c r="C21" s="71" t="s">
        <v>197</v>
      </c>
      <c r="D21" s="71" t="s">
        <v>183</v>
      </c>
      <c r="E21" s="110" t="s">
        <v>198</v>
      </c>
      <c r="F21" s="73">
        <v>96258124</v>
      </c>
      <c r="G21" s="71" t="s">
        <v>80</v>
      </c>
      <c r="H21" s="71" t="s">
        <v>199</v>
      </c>
      <c r="I21" s="71" t="s">
        <v>171</v>
      </c>
      <c r="J21" s="71" t="s">
        <v>200</v>
      </c>
      <c r="K21" s="71" t="s">
        <v>201</v>
      </c>
      <c r="L21" s="71"/>
      <c r="M21" s="71"/>
      <c r="N21" s="71"/>
      <c r="O21" s="73"/>
      <c r="P21" s="2" t="s">
        <v>71</v>
      </c>
      <c r="Q21" s="2" t="s">
        <v>202</v>
      </c>
      <c r="R21" s="119"/>
      <c r="S21" s="120"/>
      <c r="V21" s="66" t="s">
        <v>203</v>
      </c>
    </row>
    <row r="22" spans="2:22" ht="14.45" customHeight="1">
      <c r="B22" s="69">
        <v>8</v>
      </c>
      <c r="C22" s="71" t="s">
        <v>204</v>
      </c>
      <c r="D22" s="71" t="s">
        <v>163</v>
      </c>
      <c r="E22" s="110" t="s">
        <v>205</v>
      </c>
      <c r="F22" s="73">
        <v>81232099</v>
      </c>
      <c r="G22" s="71"/>
      <c r="H22" s="71"/>
      <c r="I22" s="71" t="s">
        <v>165</v>
      </c>
      <c r="J22" s="71" t="s">
        <v>206</v>
      </c>
      <c r="K22" s="71" t="s">
        <v>207</v>
      </c>
      <c r="L22" s="71"/>
      <c r="M22" s="71"/>
      <c r="N22" s="71"/>
      <c r="O22" s="73"/>
      <c r="P22" s="2" t="s">
        <v>83</v>
      </c>
      <c r="Q22" s="2"/>
      <c r="R22" s="119"/>
      <c r="S22" s="120"/>
      <c r="V22" s="66" t="s">
        <v>208</v>
      </c>
    </row>
    <row r="23" spans="2:22" ht="14.45" customHeight="1">
      <c r="B23" s="69">
        <v>9</v>
      </c>
      <c r="C23" s="71" t="s">
        <v>209</v>
      </c>
      <c r="D23" s="71" t="s">
        <v>183</v>
      </c>
      <c r="E23" s="110" t="s">
        <v>210</v>
      </c>
      <c r="F23" s="73">
        <v>83352470</v>
      </c>
      <c r="G23" s="71"/>
      <c r="H23" s="71"/>
      <c r="I23" s="71" t="s">
        <v>211</v>
      </c>
      <c r="J23" s="71" t="s">
        <v>212</v>
      </c>
      <c r="K23" s="71" t="s">
        <v>213</v>
      </c>
      <c r="L23" s="71"/>
      <c r="M23" s="71"/>
      <c r="N23" s="71"/>
      <c r="O23" s="73"/>
      <c r="P23" s="2" t="s">
        <v>83</v>
      </c>
      <c r="Q23" s="2"/>
      <c r="R23" s="119"/>
      <c r="S23" s="120"/>
      <c r="V23" s="66" t="s">
        <v>214</v>
      </c>
    </row>
    <row r="24" spans="2:22">
      <c r="B24" s="69">
        <v>10</v>
      </c>
      <c r="C24" s="71" t="s">
        <v>215</v>
      </c>
      <c r="D24" s="71" t="s">
        <v>183</v>
      </c>
      <c r="E24" s="110" t="s">
        <v>216</v>
      </c>
      <c r="F24" s="73">
        <v>92701765</v>
      </c>
      <c r="G24" s="71"/>
      <c r="H24" s="71"/>
      <c r="I24" s="71" t="s">
        <v>165</v>
      </c>
      <c r="J24" s="71" t="s">
        <v>217</v>
      </c>
      <c r="K24" s="71" t="s">
        <v>216</v>
      </c>
      <c r="L24" s="71"/>
      <c r="M24" s="71"/>
      <c r="N24" s="71"/>
      <c r="O24" s="73"/>
      <c r="P24" s="2"/>
      <c r="Q24" s="2"/>
      <c r="R24" s="119" t="s">
        <v>180</v>
      </c>
      <c r="S24" s="120"/>
      <c r="V24" s="66" t="s">
        <v>218</v>
      </c>
    </row>
    <row r="25" spans="2:22" ht="14.45" customHeight="1">
      <c r="B25" s="69">
        <v>11</v>
      </c>
      <c r="C25" s="71" t="s">
        <v>219</v>
      </c>
      <c r="D25" s="71" t="s">
        <v>163</v>
      </c>
      <c r="E25" s="110" t="s">
        <v>220</v>
      </c>
      <c r="F25" s="73">
        <v>96661192</v>
      </c>
      <c r="G25" s="71"/>
      <c r="H25" s="71"/>
      <c r="I25" s="71" t="s">
        <v>165</v>
      </c>
      <c r="J25" s="71" t="s">
        <v>221</v>
      </c>
      <c r="K25" s="71" t="s">
        <v>222</v>
      </c>
      <c r="L25" s="71"/>
      <c r="M25" s="71"/>
      <c r="N25" s="71"/>
      <c r="O25" s="73"/>
      <c r="P25" s="2" t="s">
        <v>83</v>
      </c>
      <c r="Q25" s="2"/>
      <c r="R25" s="119"/>
      <c r="S25" s="120"/>
      <c r="V25" s="66" t="s">
        <v>223</v>
      </c>
    </row>
    <row r="26" spans="2:22">
      <c r="B26" s="69">
        <v>12</v>
      </c>
      <c r="C26" s="71" t="s">
        <v>224</v>
      </c>
      <c r="D26" s="71" t="s">
        <v>163</v>
      </c>
      <c r="E26" s="110" t="s">
        <v>225</v>
      </c>
      <c r="F26" s="73">
        <v>92968333</v>
      </c>
      <c r="G26" s="71"/>
      <c r="H26" s="71"/>
      <c r="I26" s="71" t="s">
        <v>171</v>
      </c>
      <c r="J26" s="71" t="s">
        <v>226</v>
      </c>
      <c r="K26" s="71" t="s">
        <v>227</v>
      </c>
      <c r="L26" s="71"/>
      <c r="M26" s="71"/>
      <c r="N26" s="71"/>
      <c r="O26" s="73"/>
      <c r="P26" s="2"/>
      <c r="Q26" s="2"/>
      <c r="R26" s="119" t="s">
        <v>180</v>
      </c>
      <c r="S26" s="120"/>
      <c r="V26" s="66" t="s">
        <v>228</v>
      </c>
    </row>
    <row r="27" spans="2:22">
      <c r="B27" s="111">
        <v>13</v>
      </c>
      <c r="C27" s="112" t="s">
        <v>229</v>
      </c>
      <c r="D27" s="112" t="s">
        <v>163</v>
      </c>
      <c r="E27" s="113" t="s">
        <v>230</v>
      </c>
      <c r="F27" s="114">
        <v>93828918</v>
      </c>
      <c r="G27" s="112" t="s">
        <v>80</v>
      </c>
      <c r="H27" s="112" t="s">
        <v>231</v>
      </c>
      <c r="I27" s="112" t="s">
        <v>165</v>
      </c>
      <c r="J27" s="112" t="s">
        <v>232</v>
      </c>
      <c r="K27" s="112" t="s">
        <v>233</v>
      </c>
      <c r="L27" s="112" t="s">
        <v>228</v>
      </c>
      <c r="M27" s="112" t="s">
        <v>208</v>
      </c>
      <c r="N27" s="112"/>
      <c r="O27" s="114" t="s">
        <v>234</v>
      </c>
      <c r="P27" s="123" t="s">
        <v>75</v>
      </c>
      <c r="Q27" s="123" t="s">
        <v>235</v>
      </c>
      <c r="R27" s="124" t="s">
        <v>180</v>
      </c>
      <c r="S27" s="125"/>
      <c r="V27" s="66" t="s">
        <v>236</v>
      </c>
    </row>
    <row r="28" spans="2:22" ht="14.45" customHeight="1">
      <c r="B28" s="69">
        <v>14</v>
      </c>
      <c r="C28" s="71" t="s">
        <v>237</v>
      </c>
      <c r="D28" s="71" t="s">
        <v>163</v>
      </c>
      <c r="E28" s="110" t="s">
        <v>238</v>
      </c>
      <c r="F28" s="73">
        <v>91147787</v>
      </c>
      <c r="G28" s="71"/>
      <c r="H28" s="71"/>
      <c r="I28" s="71" t="s">
        <v>165</v>
      </c>
      <c r="J28" s="71" t="s">
        <v>239</v>
      </c>
      <c r="K28" s="71" t="s">
        <v>240</v>
      </c>
      <c r="L28" s="71"/>
      <c r="M28" s="71"/>
      <c r="N28" s="71"/>
      <c r="O28" s="73"/>
      <c r="P28" s="2" t="s">
        <v>83</v>
      </c>
      <c r="Q28" s="2"/>
      <c r="R28" s="119"/>
      <c r="S28" s="120"/>
      <c r="V28" s="66" t="s">
        <v>241</v>
      </c>
    </row>
    <row r="29" spans="2:22">
      <c r="B29" s="69">
        <v>15</v>
      </c>
      <c r="C29" s="71" t="s">
        <v>242</v>
      </c>
      <c r="D29" s="71" t="s">
        <v>183</v>
      </c>
      <c r="E29" s="110" t="s">
        <v>243</v>
      </c>
      <c r="F29" s="73">
        <v>97983690</v>
      </c>
      <c r="G29" s="71"/>
      <c r="H29" s="71"/>
      <c r="I29" s="71" t="s">
        <v>211</v>
      </c>
      <c r="J29" s="71" t="s">
        <v>244</v>
      </c>
      <c r="K29" s="71" t="s">
        <v>245</v>
      </c>
      <c r="L29" s="71"/>
      <c r="M29" s="71"/>
      <c r="N29" s="71"/>
      <c r="O29" s="73"/>
      <c r="P29" s="2" t="s">
        <v>108</v>
      </c>
      <c r="Q29" s="2" t="s">
        <v>246</v>
      </c>
      <c r="R29" s="119" t="s">
        <v>180</v>
      </c>
      <c r="S29" s="120"/>
      <c r="V29" s="66" t="s">
        <v>247</v>
      </c>
    </row>
    <row r="30" spans="2:22" ht="14.45" customHeight="1">
      <c r="B30" s="69">
        <v>16</v>
      </c>
      <c r="C30" s="71" t="s">
        <v>248</v>
      </c>
      <c r="D30" s="71" t="s">
        <v>163</v>
      </c>
      <c r="E30" s="110" t="s">
        <v>249</v>
      </c>
      <c r="F30" s="73">
        <v>81989978</v>
      </c>
      <c r="G30" s="71"/>
      <c r="H30" s="71"/>
      <c r="I30" s="71" t="s">
        <v>211</v>
      </c>
      <c r="J30" s="71" t="s">
        <v>250</v>
      </c>
      <c r="K30" s="71" t="s">
        <v>251</v>
      </c>
      <c r="L30" s="71"/>
      <c r="M30" s="71"/>
      <c r="N30" s="71"/>
      <c r="O30" s="73"/>
      <c r="P30" s="2" t="s">
        <v>83</v>
      </c>
      <c r="Q30" s="2"/>
      <c r="R30" s="119"/>
      <c r="S30" s="120"/>
      <c r="V30" s="66" t="s">
        <v>252</v>
      </c>
    </row>
    <row r="31" spans="2:22">
      <c r="B31" s="69">
        <v>17</v>
      </c>
      <c r="C31" s="71" t="s">
        <v>253</v>
      </c>
      <c r="D31" s="71" t="s">
        <v>163</v>
      </c>
      <c r="E31" s="110" t="s">
        <v>254</v>
      </c>
      <c r="F31" s="73">
        <v>96574107</v>
      </c>
      <c r="G31" s="71"/>
      <c r="H31" s="71"/>
      <c r="I31" s="71" t="s">
        <v>171</v>
      </c>
      <c r="J31" s="71" t="s">
        <v>255</v>
      </c>
      <c r="K31" s="71" t="s">
        <v>256</v>
      </c>
      <c r="L31" s="71"/>
      <c r="M31" s="71"/>
      <c r="N31" s="71"/>
      <c r="O31" s="73"/>
      <c r="P31" s="2"/>
      <c r="Q31" s="2"/>
      <c r="R31" s="119" t="s">
        <v>180</v>
      </c>
      <c r="S31" s="120"/>
      <c r="V31" s="66" t="s">
        <v>35</v>
      </c>
    </row>
    <row r="32" spans="2:22">
      <c r="B32" s="69">
        <v>18</v>
      </c>
      <c r="C32" s="71" t="s">
        <v>257</v>
      </c>
      <c r="D32" s="71" t="s">
        <v>163</v>
      </c>
      <c r="E32" s="110" t="s">
        <v>258</v>
      </c>
      <c r="F32" s="73">
        <v>91254541</v>
      </c>
      <c r="G32" s="71"/>
      <c r="H32" s="71"/>
      <c r="I32" s="71" t="s">
        <v>165</v>
      </c>
      <c r="J32" s="71" t="s">
        <v>259</v>
      </c>
      <c r="K32" s="71" t="s">
        <v>260</v>
      </c>
      <c r="L32" s="71"/>
      <c r="M32" s="71"/>
      <c r="N32" s="71"/>
      <c r="O32" s="73"/>
      <c r="P32" s="2"/>
      <c r="Q32" s="2"/>
      <c r="R32" s="119" t="s">
        <v>180</v>
      </c>
      <c r="S32" s="120"/>
    </row>
    <row r="33" spans="2:19">
      <c r="B33" s="69">
        <v>19</v>
      </c>
      <c r="C33" s="71" t="s">
        <v>261</v>
      </c>
      <c r="D33" s="71" t="s">
        <v>163</v>
      </c>
      <c r="E33" s="110" t="s">
        <v>262</v>
      </c>
      <c r="F33" s="73">
        <v>81630285</v>
      </c>
      <c r="G33" s="71" t="s">
        <v>80</v>
      </c>
      <c r="H33" s="71"/>
      <c r="I33" s="71" t="s">
        <v>165</v>
      </c>
      <c r="J33" s="71" t="s">
        <v>263</v>
      </c>
      <c r="K33" s="71" t="s">
        <v>264</v>
      </c>
      <c r="L33" s="71"/>
      <c r="M33" s="71"/>
      <c r="N33" s="71"/>
      <c r="O33" s="73"/>
      <c r="P33" s="2" t="s">
        <v>75</v>
      </c>
      <c r="Q33" s="2" t="s">
        <v>179</v>
      </c>
      <c r="R33" s="119" t="s">
        <v>180</v>
      </c>
      <c r="S33" s="120"/>
    </row>
    <row r="34" spans="2:19">
      <c r="B34" s="69">
        <v>20</v>
      </c>
      <c r="C34" s="71" t="s">
        <v>265</v>
      </c>
      <c r="D34" s="71" t="s">
        <v>163</v>
      </c>
      <c r="E34" s="110" t="s">
        <v>266</v>
      </c>
      <c r="F34" s="73">
        <v>81813568</v>
      </c>
      <c r="G34" s="71"/>
      <c r="H34" s="71"/>
      <c r="I34" s="71" t="s">
        <v>165</v>
      </c>
      <c r="J34" s="71" t="s">
        <v>267</v>
      </c>
      <c r="K34" s="71" t="s">
        <v>268</v>
      </c>
      <c r="L34" s="71"/>
      <c r="M34" s="71"/>
      <c r="N34" s="71"/>
      <c r="O34" s="73"/>
      <c r="P34" s="2"/>
      <c r="Q34" s="2"/>
      <c r="R34" s="119" t="s">
        <v>180</v>
      </c>
      <c r="S34" s="120"/>
    </row>
    <row r="35" spans="2:19" ht="14.45" customHeight="1">
      <c r="B35" s="69">
        <v>21</v>
      </c>
      <c r="C35" s="71" t="s">
        <v>269</v>
      </c>
      <c r="D35" s="71" t="s">
        <v>163</v>
      </c>
      <c r="E35" s="110" t="s">
        <v>270</v>
      </c>
      <c r="F35" s="73">
        <v>96199466</v>
      </c>
      <c r="G35" s="71"/>
      <c r="H35" s="71"/>
      <c r="I35" s="71" t="s">
        <v>165</v>
      </c>
      <c r="J35" s="71" t="s">
        <v>271</v>
      </c>
      <c r="K35" s="71" t="s">
        <v>272</v>
      </c>
      <c r="L35" s="71"/>
      <c r="M35" s="71"/>
      <c r="N35" s="71"/>
      <c r="O35" s="73"/>
      <c r="P35" s="2" t="s">
        <v>83</v>
      </c>
      <c r="Q35" s="2"/>
      <c r="R35" s="119"/>
      <c r="S35" s="120"/>
    </row>
    <row r="36" spans="2:19" ht="14.45" customHeight="1">
      <c r="B36" s="69">
        <v>22</v>
      </c>
      <c r="C36" s="71" t="s">
        <v>273</v>
      </c>
      <c r="D36" s="71" t="s">
        <v>163</v>
      </c>
      <c r="E36" s="110" t="s">
        <v>274</v>
      </c>
      <c r="F36" s="73">
        <v>91700965</v>
      </c>
      <c r="G36" s="71"/>
      <c r="H36" s="71"/>
      <c r="I36" s="71" t="s">
        <v>165</v>
      </c>
      <c r="J36" s="71" t="s">
        <v>275</v>
      </c>
      <c r="K36" s="71" t="s">
        <v>276</v>
      </c>
      <c r="L36" s="71"/>
      <c r="M36" s="71"/>
      <c r="N36" s="71"/>
      <c r="O36" s="73"/>
      <c r="P36" s="2" t="s">
        <v>83</v>
      </c>
      <c r="Q36" s="2"/>
      <c r="R36" s="119"/>
      <c r="S36" s="120"/>
    </row>
    <row r="37" spans="2:19" ht="14.45" customHeight="1">
      <c r="B37" s="69">
        <v>23</v>
      </c>
      <c r="C37" s="71" t="s">
        <v>277</v>
      </c>
      <c r="D37" s="71" t="s">
        <v>163</v>
      </c>
      <c r="E37" s="110" t="s">
        <v>278</v>
      </c>
      <c r="F37" s="73">
        <v>90937556</v>
      </c>
      <c r="G37" s="71"/>
      <c r="H37" s="71"/>
      <c r="I37" s="71" t="s">
        <v>165</v>
      </c>
      <c r="J37" s="71" t="s">
        <v>279</v>
      </c>
      <c r="K37" s="71" t="s">
        <v>280</v>
      </c>
      <c r="L37" s="71"/>
      <c r="M37" s="71"/>
      <c r="N37" s="71"/>
      <c r="O37" s="73"/>
      <c r="P37" s="2" t="s">
        <v>83</v>
      </c>
      <c r="Q37" s="2"/>
      <c r="R37" s="119"/>
      <c r="S37" s="120"/>
    </row>
    <row r="38" spans="2:19" ht="14.45" customHeight="1">
      <c r="B38" s="69">
        <v>24</v>
      </c>
      <c r="C38" s="71" t="s">
        <v>281</v>
      </c>
      <c r="D38" s="71" t="s">
        <v>163</v>
      </c>
      <c r="E38" s="110" t="s">
        <v>282</v>
      </c>
      <c r="F38" s="73">
        <v>96952710</v>
      </c>
      <c r="G38" s="71"/>
      <c r="H38" s="71"/>
      <c r="I38" s="71" t="s">
        <v>165</v>
      </c>
      <c r="J38" s="71" t="s">
        <v>283</v>
      </c>
      <c r="K38" s="71" t="s">
        <v>284</v>
      </c>
      <c r="L38" s="71"/>
      <c r="M38" s="71"/>
      <c r="N38" s="71"/>
      <c r="O38" s="73"/>
      <c r="P38" s="2" t="s">
        <v>83</v>
      </c>
      <c r="Q38" s="2"/>
      <c r="R38" s="119"/>
      <c r="S38" s="120"/>
    </row>
    <row r="39" spans="2:19">
      <c r="B39" s="69">
        <v>25</v>
      </c>
      <c r="C39" s="71" t="s">
        <v>285</v>
      </c>
      <c r="D39" s="71" t="s">
        <v>163</v>
      </c>
      <c r="E39" s="110" t="s">
        <v>286</v>
      </c>
      <c r="F39" s="73">
        <v>97975620</v>
      </c>
      <c r="G39" s="71"/>
      <c r="H39" s="71"/>
      <c r="I39" s="71" t="s">
        <v>165</v>
      </c>
      <c r="J39" s="71" t="s">
        <v>172</v>
      </c>
      <c r="K39" s="71" t="s">
        <v>287</v>
      </c>
      <c r="L39" s="71"/>
      <c r="M39" s="71"/>
      <c r="N39" s="71"/>
      <c r="O39" s="73"/>
      <c r="P39" s="2"/>
      <c r="Q39" s="2"/>
      <c r="R39" s="119" t="s">
        <v>180</v>
      </c>
      <c r="S39" s="120"/>
    </row>
    <row r="40" spans="2:19">
      <c r="B40" s="69">
        <v>26</v>
      </c>
      <c r="C40" s="71" t="s">
        <v>288</v>
      </c>
      <c r="D40" s="71" t="s">
        <v>163</v>
      </c>
      <c r="E40" s="110" t="s">
        <v>289</v>
      </c>
      <c r="F40" s="73">
        <v>98382900</v>
      </c>
      <c r="G40" s="71" t="s">
        <v>65</v>
      </c>
      <c r="H40" s="71" t="s">
        <v>231</v>
      </c>
      <c r="I40" s="71" t="s">
        <v>171</v>
      </c>
      <c r="J40" s="71" t="s">
        <v>290</v>
      </c>
      <c r="K40" s="71" t="s">
        <v>291</v>
      </c>
      <c r="L40" s="71" t="s">
        <v>228</v>
      </c>
      <c r="M40" s="71"/>
      <c r="N40" s="71"/>
      <c r="O40" s="73" t="s">
        <v>234</v>
      </c>
      <c r="P40" s="2" t="s">
        <v>108</v>
      </c>
      <c r="Q40" s="2" t="s">
        <v>292</v>
      </c>
      <c r="R40" s="119" t="s">
        <v>180</v>
      </c>
      <c r="S40" s="120"/>
    </row>
    <row r="41" spans="2:19">
      <c r="B41" s="69">
        <v>27</v>
      </c>
      <c r="C41" s="71" t="s">
        <v>293</v>
      </c>
      <c r="D41" s="71" t="s">
        <v>163</v>
      </c>
      <c r="E41" s="110" t="s">
        <v>294</v>
      </c>
      <c r="F41" s="73">
        <v>91870258</v>
      </c>
      <c r="G41" s="71"/>
      <c r="H41" s="71"/>
      <c r="I41" s="71" t="s">
        <v>211</v>
      </c>
      <c r="J41" s="71" t="s">
        <v>295</v>
      </c>
      <c r="K41" s="71" t="s">
        <v>296</v>
      </c>
      <c r="L41" s="71"/>
      <c r="M41" s="71"/>
      <c r="N41" s="71"/>
      <c r="O41" s="73"/>
      <c r="P41" s="2"/>
      <c r="Q41" s="2"/>
      <c r="R41" s="119" t="s">
        <v>180</v>
      </c>
      <c r="S41" s="120"/>
    </row>
    <row r="42" spans="2:19" ht="14.45" customHeight="1">
      <c r="B42" s="69">
        <v>28</v>
      </c>
      <c r="C42" s="71" t="s">
        <v>297</v>
      </c>
      <c r="D42" s="71" t="s">
        <v>163</v>
      </c>
      <c r="E42" s="110" t="s">
        <v>298</v>
      </c>
      <c r="F42" s="73">
        <v>82991811</v>
      </c>
      <c r="G42" s="71"/>
      <c r="H42" s="71"/>
      <c r="I42" s="71" t="s">
        <v>165</v>
      </c>
      <c r="J42" s="71" t="s">
        <v>299</v>
      </c>
      <c r="K42" s="71" t="s">
        <v>300</v>
      </c>
      <c r="L42" s="71"/>
      <c r="M42" s="71"/>
      <c r="N42" s="71"/>
      <c r="O42" s="73"/>
      <c r="P42" s="2" t="s">
        <v>83</v>
      </c>
      <c r="Q42" s="2"/>
      <c r="R42" s="119"/>
      <c r="S42" s="120"/>
    </row>
    <row r="43" spans="2:19">
      <c r="B43" s="69">
        <v>29</v>
      </c>
      <c r="C43" s="71" t="s">
        <v>301</v>
      </c>
      <c r="D43" s="71" t="s">
        <v>183</v>
      </c>
      <c r="E43" s="110" t="s">
        <v>302</v>
      </c>
      <c r="F43" s="73">
        <v>97389154</v>
      </c>
      <c r="G43" s="71" t="s">
        <v>80</v>
      </c>
      <c r="H43" s="71"/>
      <c r="I43" s="71" t="s">
        <v>211</v>
      </c>
      <c r="J43" s="71" t="s">
        <v>303</v>
      </c>
      <c r="K43" s="71" t="s">
        <v>304</v>
      </c>
      <c r="L43" s="71"/>
      <c r="M43" s="71"/>
      <c r="N43" s="71"/>
      <c r="O43" s="73"/>
      <c r="P43" s="2" t="s">
        <v>75</v>
      </c>
      <c r="Q43" s="2" t="s">
        <v>179</v>
      </c>
      <c r="R43" s="119" t="s">
        <v>180</v>
      </c>
      <c r="S43" s="120"/>
    </row>
    <row r="44" spans="2:19">
      <c r="B44" s="69">
        <v>30</v>
      </c>
      <c r="C44" s="71" t="s">
        <v>305</v>
      </c>
      <c r="D44" s="71" t="s">
        <v>163</v>
      </c>
      <c r="E44" s="110" t="s">
        <v>306</v>
      </c>
      <c r="F44" s="73">
        <v>97319769</v>
      </c>
      <c r="G44" s="71" t="s">
        <v>80</v>
      </c>
      <c r="H44" s="71" t="s">
        <v>231</v>
      </c>
      <c r="I44" s="71" t="s">
        <v>165</v>
      </c>
      <c r="J44" s="71" t="s">
        <v>307</v>
      </c>
      <c r="K44" s="71" t="s">
        <v>308</v>
      </c>
      <c r="L44" s="71" t="s">
        <v>208</v>
      </c>
      <c r="M44" s="71" t="s">
        <v>228</v>
      </c>
      <c r="N44" s="71" t="s">
        <v>168</v>
      </c>
      <c r="O44" s="73" t="s">
        <v>234</v>
      </c>
      <c r="P44" s="2" t="s">
        <v>101</v>
      </c>
      <c r="Q44" s="2" t="s">
        <v>309</v>
      </c>
      <c r="R44" s="119">
        <v>44147</v>
      </c>
      <c r="S44" s="120">
        <v>44175</v>
      </c>
    </row>
    <row r="45" spans="2:19" ht="14.45" customHeight="1">
      <c r="B45" s="69">
        <v>31</v>
      </c>
      <c r="C45" s="71" t="s">
        <v>310</v>
      </c>
      <c r="D45" s="71" t="s">
        <v>163</v>
      </c>
      <c r="E45" s="110" t="s">
        <v>311</v>
      </c>
      <c r="F45" s="73">
        <v>83396710</v>
      </c>
      <c r="G45" s="71"/>
      <c r="H45" s="71"/>
      <c r="I45" s="71" t="s">
        <v>165</v>
      </c>
      <c r="J45" s="71" t="s">
        <v>312</v>
      </c>
      <c r="K45" s="71" t="s">
        <v>313</v>
      </c>
      <c r="L45" s="71"/>
      <c r="M45" s="71"/>
      <c r="N45" s="71"/>
      <c r="O45" s="73"/>
      <c r="P45" s="2" t="s">
        <v>83</v>
      </c>
      <c r="Q45" s="2"/>
      <c r="R45" s="119"/>
      <c r="S45" s="120"/>
    </row>
    <row r="46" spans="2:19">
      <c r="B46" s="69">
        <v>32</v>
      </c>
      <c r="C46" s="71" t="s">
        <v>314</v>
      </c>
      <c r="D46" s="71" t="s">
        <v>163</v>
      </c>
      <c r="E46" s="110" t="s">
        <v>315</v>
      </c>
      <c r="F46" s="73">
        <v>96380155</v>
      </c>
      <c r="G46" s="71" t="s">
        <v>80</v>
      </c>
      <c r="H46" s="71"/>
      <c r="I46" s="71" t="s">
        <v>316</v>
      </c>
      <c r="J46" s="71" t="s">
        <v>317</v>
      </c>
      <c r="K46" s="71" t="s">
        <v>318</v>
      </c>
      <c r="L46" s="71"/>
      <c r="M46" s="71"/>
      <c r="N46" s="71"/>
      <c r="O46" s="73"/>
      <c r="P46" s="2" t="s">
        <v>75</v>
      </c>
      <c r="Q46" s="2" t="s">
        <v>179</v>
      </c>
      <c r="R46" s="119" t="s">
        <v>180</v>
      </c>
      <c r="S46" s="120"/>
    </row>
    <row r="47" spans="2:19">
      <c r="B47" s="69">
        <v>33</v>
      </c>
      <c r="C47" s="71" t="s">
        <v>319</v>
      </c>
      <c r="D47" s="71" t="s">
        <v>163</v>
      </c>
      <c r="E47" s="110" t="s">
        <v>320</v>
      </c>
      <c r="F47" s="73">
        <v>81289905</v>
      </c>
      <c r="G47" s="71" t="s">
        <v>80</v>
      </c>
      <c r="H47" s="71"/>
      <c r="I47" s="71" t="s">
        <v>211</v>
      </c>
      <c r="J47" s="71" t="s">
        <v>321</v>
      </c>
      <c r="K47" s="71" t="s">
        <v>322</v>
      </c>
      <c r="L47" s="71"/>
      <c r="M47" s="71"/>
      <c r="N47" s="71"/>
      <c r="O47" s="73"/>
      <c r="P47" s="2" t="s">
        <v>75</v>
      </c>
      <c r="Q47" s="2" t="s">
        <v>179</v>
      </c>
      <c r="R47" s="119" t="s">
        <v>180</v>
      </c>
      <c r="S47" s="120"/>
    </row>
    <row r="48" spans="2:19">
      <c r="B48" s="69">
        <v>34</v>
      </c>
      <c r="C48" s="71" t="s">
        <v>323</v>
      </c>
      <c r="D48" s="71" t="s">
        <v>163</v>
      </c>
      <c r="E48" s="110" t="s">
        <v>324</v>
      </c>
      <c r="F48" s="73">
        <v>83824283</v>
      </c>
      <c r="G48" s="71"/>
      <c r="H48" s="71"/>
      <c r="I48" s="71" t="s">
        <v>171</v>
      </c>
      <c r="J48" s="71" t="s">
        <v>325</v>
      </c>
      <c r="K48" s="71" t="s">
        <v>326</v>
      </c>
      <c r="L48" s="71"/>
      <c r="M48" s="71"/>
      <c r="N48" s="71"/>
      <c r="O48" s="73"/>
      <c r="P48" s="2"/>
      <c r="Q48" s="2"/>
      <c r="R48" s="119" t="s">
        <v>180</v>
      </c>
      <c r="S48" s="120"/>
    </row>
    <row r="49" spans="2:19">
      <c r="B49" s="69">
        <v>35</v>
      </c>
      <c r="C49" s="71" t="s">
        <v>327</v>
      </c>
      <c r="D49" s="71" t="s">
        <v>163</v>
      </c>
      <c r="E49" s="110" t="s">
        <v>328</v>
      </c>
      <c r="F49" s="73">
        <v>81006753</v>
      </c>
      <c r="G49" s="71" t="s">
        <v>80</v>
      </c>
      <c r="H49" s="71"/>
      <c r="I49" s="71" t="s">
        <v>165</v>
      </c>
      <c r="J49" s="71" t="s">
        <v>329</v>
      </c>
      <c r="K49" s="71" t="s">
        <v>330</v>
      </c>
      <c r="L49" s="71"/>
      <c r="M49" s="71"/>
      <c r="N49" s="71"/>
      <c r="O49" s="73"/>
      <c r="P49" s="2" t="s">
        <v>75</v>
      </c>
      <c r="Q49" s="2" t="s">
        <v>179</v>
      </c>
      <c r="R49" s="119" t="s">
        <v>180</v>
      </c>
      <c r="S49" s="120"/>
    </row>
    <row r="50" spans="2:19" ht="14.45" customHeight="1">
      <c r="B50" s="69">
        <v>36</v>
      </c>
      <c r="C50" s="71" t="s">
        <v>331</v>
      </c>
      <c r="D50" s="71" t="s">
        <v>163</v>
      </c>
      <c r="E50" s="110" t="s">
        <v>332</v>
      </c>
      <c r="F50" s="73">
        <v>90479814</v>
      </c>
      <c r="G50" s="71"/>
      <c r="H50" s="71"/>
      <c r="I50" s="71" t="s">
        <v>211</v>
      </c>
      <c r="J50" s="71" t="s">
        <v>333</v>
      </c>
      <c r="K50" s="71" t="s">
        <v>334</v>
      </c>
      <c r="L50" s="71"/>
      <c r="M50" s="71"/>
      <c r="N50" s="71"/>
      <c r="O50" s="73"/>
      <c r="P50" s="2" t="s">
        <v>83</v>
      </c>
      <c r="Q50" s="2"/>
      <c r="R50" s="119"/>
      <c r="S50" s="120"/>
    </row>
    <row r="51" spans="2:19">
      <c r="B51" s="69">
        <v>37</v>
      </c>
      <c r="C51" s="71" t="s">
        <v>335</v>
      </c>
      <c r="D51" s="71" t="s">
        <v>163</v>
      </c>
      <c r="E51" s="110" t="s">
        <v>336</v>
      </c>
      <c r="F51" s="73">
        <v>92956901</v>
      </c>
      <c r="G51" s="71" t="s">
        <v>80</v>
      </c>
      <c r="H51" s="71"/>
      <c r="I51" s="71" t="s">
        <v>165</v>
      </c>
      <c r="J51" s="71" t="s">
        <v>337</v>
      </c>
      <c r="K51" s="71" t="s">
        <v>338</v>
      </c>
      <c r="L51" s="71"/>
      <c r="M51" s="71"/>
      <c r="N51" s="71"/>
      <c r="O51" s="73"/>
      <c r="P51" s="2" t="s">
        <v>75</v>
      </c>
      <c r="Q51" s="2" t="s">
        <v>235</v>
      </c>
      <c r="R51" s="119" t="s">
        <v>180</v>
      </c>
      <c r="S51" s="120"/>
    </row>
    <row r="52" spans="2:19">
      <c r="B52" s="69">
        <v>38</v>
      </c>
      <c r="C52" s="71" t="s">
        <v>339</v>
      </c>
      <c r="D52" s="71" t="s">
        <v>163</v>
      </c>
      <c r="E52" s="110" t="s">
        <v>340</v>
      </c>
      <c r="F52" s="73">
        <v>87531400</v>
      </c>
      <c r="G52" s="71"/>
      <c r="H52" s="71"/>
      <c r="I52" s="71" t="s">
        <v>316</v>
      </c>
      <c r="J52" s="71" t="s">
        <v>250</v>
      </c>
      <c r="K52" s="71" t="s">
        <v>341</v>
      </c>
      <c r="L52" s="71"/>
      <c r="M52" s="71"/>
      <c r="N52" s="71"/>
      <c r="O52" s="73"/>
      <c r="P52" s="2"/>
      <c r="Q52" s="2"/>
      <c r="R52" s="119" t="s">
        <v>180</v>
      </c>
      <c r="S52" s="120"/>
    </row>
    <row r="53" spans="2:19">
      <c r="B53" s="69">
        <v>39</v>
      </c>
      <c r="C53" s="71" t="s">
        <v>342</v>
      </c>
      <c r="D53" s="71" t="s">
        <v>163</v>
      </c>
      <c r="E53" s="110" t="s">
        <v>343</v>
      </c>
      <c r="F53" s="73">
        <v>98235634</v>
      </c>
      <c r="G53" s="71" t="s">
        <v>72</v>
      </c>
      <c r="H53" s="71" t="s">
        <v>231</v>
      </c>
      <c r="I53" s="71" t="s">
        <v>165</v>
      </c>
      <c r="J53" s="71" t="s">
        <v>172</v>
      </c>
      <c r="K53" s="71" t="s">
        <v>344</v>
      </c>
      <c r="L53" s="71" t="s">
        <v>181</v>
      </c>
      <c r="M53" s="71" t="s">
        <v>174</v>
      </c>
      <c r="N53" s="71"/>
      <c r="O53" s="115">
        <v>44166</v>
      </c>
      <c r="P53" s="2" t="s">
        <v>108</v>
      </c>
      <c r="Q53" s="2" t="s">
        <v>345</v>
      </c>
      <c r="R53" s="119" t="s">
        <v>180</v>
      </c>
      <c r="S53" s="120"/>
    </row>
    <row r="54" spans="2:19" ht="14.45" customHeight="1">
      <c r="B54" s="69">
        <v>40</v>
      </c>
      <c r="C54" s="71" t="s">
        <v>346</v>
      </c>
      <c r="D54" s="71" t="s">
        <v>163</v>
      </c>
      <c r="E54" s="110" t="s">
        <v>347</v>
      </c>
      <c r="F54" s="73">
        <v>81803127</v>
      </c>
      <c r="G54" s="71"/>
      <c r="H54" s="71"/>
      <c r="I54" s="71" t="s">
        <v>165</v>
      </c>
      <c r="J54" s="71" t="s">
        <v>348</v>
      </c>
      <c r="K54" s="71" t="s">
        <v>349</v>
      </c>
      <c r="L54" s="71"/>
      <c r="M54" s="71"/>
      <c r="N54" s="71"/>
      <c r="O54" s="73"/>
      <c r="P54" s="2" t="s">
        <v>83</v>
      </c>
      <c r="Q54" s="2"/>
      <c r="R54" s="119"/>
      <c r="S54" s="120"/>
    </row>
    <row r="55" spans="2:19" ht="14.45" customHeight="1">
      <c r="B55" s="69">
        <v>41</v>
      </c>
      <c r="C55" s="71" t="s">
        <v>350</v>
      </c>
      <c r="D55" s="71" t="s">
        <v>163</v>
      </c>
      <c r="E55" s="110" t="s">
        <v>351</v>
      </c>
      <c r="F55" s="73">
        <v>96695182</v>
      </c>
      <c r="G55" s="71"/>
      <c r="H55" s="71"/>
      <c r="I55" s="71" t="s">
        <v>165</v>
      </c>
      <c r="J55" s="71" t="s">
        <v>333</v>
      </c>
      <c r="K55" s="71" t="s">
        <v>352</v>
      </c>
      <c r="L55" s="71"/>
      <c r="M55" s="71"/>
      <c r="N55" s="71"/>
      <c r="O55" s="73"/>
      <c r="P55" s="2" t="s">
        <v>83</v>
      </c>
      <c r="Q55" s="2"/>
      <c r="R55" s="119"/>
      <c r="S55" s="120"/>
    </row>
    <row r="56" spans="2:19" ht="14.45" customHeight="1">
      <c r="B56" s="69">
        <v>42</v>
      </c>
      <c r="C56" s="71" t="s">
        <v>353</v>
      </c>
      <c r="D56" s="71" t="s">
        <v>163</v>
      </c>
      <c r="E56" s="110" t="s">
        <v>354</v>
      </c>
      <c r="F56" s="73">
        <v>98778858</v>
      </c>
      <c r="G56" s="71"/>
      <c r="H56" s="71"/>
      <c r="I56" s="71" t="s">
        <v>165</v>
      </c>
      <c r="J56" s="71" t="s">
        <v>355</v>
      </c>
      <c r="K56" s="71" t="s">
        <v>356</v>
      </c>
      <c r="L56" s="71"/>
      <c r="M56" s="71"/>
      <c r="N56" s="71"/>
      <c r="O56" s="73"/>
      <c r="P56" s="2" t="s">
        <v>83</v>
      </c>
      <c r="Q56" s="2"/>
      <c r="R56" s="119"/>
      <c r="S56" s="120"/>
    </row>
    <row r="57" spans="2:19" ht="14.45" customHeight="1">
      <c r="B57" s="69">
        <v>43</v>
      </c>
      <c r="C57" s="71" t="s">
        <v>357</v>
      </c>
      <c r="D57" s="71" t="s">
        <v>163</v>
      </c>
      <c r="E57" s="110" t="s">
        <v>358</v>
      </c>
      <c r="F57" s="73">
        <v>82008250</v>
      </c>
      <c r="G57" s="71"/>
      <c r="H57" s="71"/>
      <c r="I57" s="71" t="s">
        <v>211</v>
      </c>
      <c r="J57" s="71" t="s">
        <v>359</v>
      </c>
      <c r="K57" s="71" t="s">
        <v>360</v>
      </c>
      <c r="L57" s="71"/>
      <c r="M57" s="71"/>
      <c r="N57" s="71"/>
      <c r="O57" s="73"/>
      <c r="P57" s="2" t="s">
        <v>83</v>
      </c>
      <c r="Q57" s="2"/>
      <c r="R57" s="119"/>
      <c r="S57" s="120"/>
    </row>
    <row r="58" spans="2:19" ht="14.45" customHeight="1">
      <c r="B58" s="69">
        <v>44</v>
      </c>
      <c r="C58" s="71" t="s">
        <v>361</v>
      </c>
      <c r="D58" s="71" t="s">
        <v>163</v>
      </c>
      <c r="E58" s="110" t="s">
        <v>362</v>
      </c>
      <c r="F58" s="73">
        <v>96327569</v>
      </c>
      <c r="G58" s="71"/>
      <c r="H58" s="71"/>
      <c r="I58" s="71" t="s">
        <v>165</v>
      </c>
      <c r="J58" s="71" t="s">
        <v>363</v>
      </c>
      <c r="K58" s="71" t="s">
        <v>364</v>
      </c>
      <c r="L58" s="71"/>
      <c r="M58" s="71"/>
      <c r="N58" s="71"/>
      <c r="O58" s="73"/>
      <c r="P58" s="2" t="s">
        <v>83</v>
      </c>
      <c r="Q58" s="2"/>
      <c r="R58" s="119"/>
      <c r="S58" s="120"/>
    </row>
    <row r="59" spans="2:19" ht="14.45" customHeight="1">
      <c r="B59" s="69">
        <v>45</v>
      </c>
      <c r="C59" s="71" t="s">
        <v>365</v>
      </c>
      <c r="D59" s="71" t="s">
        <v>163</v>
      </c>
      <c r="E59" s="110" t="s">
        <v>366</v>
      </c>
      <c r="F59" s="73">
        <v>81276365</v>
      </c>
      <c r="G59" s="71"/>
      <c r="H59" s="71"/>
      <c r="I59" s="71" t="s">
        <v>165</v>
      </c>
      <c r="J59" s="71" t="s">
        <v>367</v>
      </c>
      <c r="K59" s="71" t="s">
        <v>368</v>
      </c>
      <c r="L59" s="71"/>
      <c r="M59" s="71"/>
      <c r="N59" s="71"/>
      <c r="O59" s="73"/>
      <c r="P59" s="2" t="s">
        <v>83</v>
      </c>
      <c r="Q59" s="2"/>
      <c r="R59" s="119"/>
      <c r="S59" s="120"/>
    </row>
    <row r="60" spans="2:19" ht="14.45" customHeight="1">
      <c r="B60" s="69">
        <v>46</v>
      </c>
      <c r="C60" s="71" t="s">
        <v>369</v>
      </c>
      <c r="D60" s="71" t="s">
        <v>183</v>
      </c>
      <c r="E60" s="110" t="s">
        <v>370</v>
      </c>
      <c r="F60" s="73">
        <v>98489846</v>
      </c>
      <c r="G60" s="71"/>
      <c r="H60" s="71"/>
      <c r="I60" s="71" t="s">
        <v>371</v>
      </c>
      <c r="J60" s="71" t="s">
        <v>372</v>
      </c>
      <c r="K60" s="71" t="s">
        <v>373</v>
      </c>
      <c r="L60" s="71"/>
      <c r="M60" s="71"/>
      <c r="N60" s="71"/>
      <c r="O60" s="73"/>
      <c r="P60" s="2" t="s">
        <v>83</v>
      </c>
      <c r="Q60" s="2"/>
      <c r="R60" s="119"/>
      <c r="S60" s="120"/>
    </row>
    <row r="61" spans="2:19" ht="14.45" customHeight="1">
      <c r="B61" s="69">
        <v>47</v>
      </c>
      <c r="C61" s="71" t="s">
        <v>374</v>
      </c>
      <c r="D61" s="71" t="s">
        <v>163</v>
      </c>
      <c r="E61" s="110" t="s">
        <v>375</v>
      </c>
      <c r="F61" s="73">
        <v>96318604</v>
      </c>
      <c r="G61" s="71"/>
      <c r="H61" s="71"/>
      <c r="I61" s="71" t="s">
        <v>165</v>
      </c>
      <c r="J61" s="71" t="s">
        <v>376</v>
      </c>
      <c r="K61" s="71" t="s">
        <v>377</v>
      </c>
      <c r="L61" s="71"/>
      <c r="M61" s="71"/>
      <c r="N61" s="71"/>
      <c r="O61" s="73"/>
      <c r="P61" s="2" t="s">
        <v>83</v>
      </c>
      <c r="Q61" s="2"/>
      <c r="R61" s="119"/>
      <c r="S61" s="120"/>
    </row>
    <row r="62" spans="2:19">
      <c r="B62" s="69">
        <v>48</v>
      </c>
      <c r="C62" s="71" t="s">
        <v>378</v>
      </c>
      <c r="D62" s="71" t="s">
        <v>163</v>
      </c>
      <c r="E62" s="110" t="s">
        <v>379</v>
      </c>
      <c r="F62" s="73">
        <v>97283888</v>
      </c>
      <c r="G62" s="71"/>
      <c r="H62" s="71"/>
      <c r="I62" s="71" t="s">
        <v>171</v>
      </c>
      <c r="J62" s="71" t="s">
        <v>380</v>
      </c>
      <c r="K62" s="71" t="s">
        <v>381</v>
      </c>
      <c r="L62" s="71"/>
      <c r="M62" s="71"/>
      <c r="N62" s="71"/>
      <c r="O62" s="73"/>
      <c r="P62" s="2"/>
      <c r="Q62" s="2"/>
      <c r="R62" s="119" t="s">
        <v>180</v>
      </c>
      <c r="S62" s="120"/>
    </row>
    <row r="63" spans="2:19" ht="14.45" customHeight="1">
      <c r="B63" s="69">
        <v>49</v>
      </c>
      <c r="C63" s="71" t="s">
        <v>382</v>
      </c>
      <c r="D63" s="71" t="s">
        <v>163</v>
      </c>
      <c r="E63" s="110" t="s">
        <v>383</v>
      </c>
      <c r="F63" s="73">
        <v>96345847</v>
      </c>
      <c r="G63" s="71"/>
      <c r="H63" s="71"/>
      <c r="I63" s="71" t="s">
        <v>165</v>
      </c>
      <c r="J63" s="71" t="s">
        <v>384</v>
      </c>
      <c r="K63" s="71" t="s">
        <v>385</v>
      </c>
      <c r="L63" s="71"/>
      <c r="M63" s="71"/>
      <c r="N63" s="71"/>
      <c r="O63" s="73"/>
      <c r="P63" s="2" t="s">
        <v>83</v>
      </c>
      <c r="Q63" s="2"/>
      <c r="R63" s="119"/>
      <c r="S63" s="120"/>
    </row>
    <row r="64" spans="2:19">
      <c r="B64" s="69">
        <v>50</v>
      </c>
      <c r="C64" s="71" t="s">
        <v>386</v>
      </c>
      <c r="D64" s="71" t="s">
        <v>163</v>
      </c>
      <c r="E64" s="110" t="s">
        <v>387</v>
      </c>
      <c r="F64" s="73">
        <v>90117102</v>
      </c>
      <c r="G64" s="71"/>
      <c r="H64" s="71"/>
      <c r="I64" s="71" t="s">
        <v>165</v>
      </c>
      <c r="J64" s="71" t="s">
        <v>200</v>
      </c>
      <c r="K64" s="71" t="s">
        <v>388</v>
      </c>
      <c r="L64" s="71"/>
      <c r="M64" s="71"/>
      <c r="N64" s="71"/>
      <c r="O64" s="73"/>
      <c r="P64" s="2" t="s">
        <v>108</v>
      </c>
      <c r="Q64" s="2" t="s">
        <v>246</v>
      </c>
      <c r="R64" s="119" t="s">
        <v>180</v>
      </c>
      <c r="S64" s="120"/>
    </row>
    <row r="65" spans="2:19">
      <c r="B65" s="69">
        <v>51</v>
      </c>
      <c r="C65" s="71" t="s">
        <v>389</v>
      </c>
      <c r="D65" s="71" t="s">
        <v>163</v>
      </c>
      <c r="E65" s="110" t="s">
        <v>390</v>
      </c>
      <c r="F65" s="73">
        <v>97532843</v>
      </c>
      <c r="G65" s="71"/>
      <c r="H65" s="71"/>
      <c r="I65" s="71" t="s">
        <v>165</v>
      </c>
      <c r="J65" s="71" t="s">
        <v>391</v>
      </c>
      <c r="K65" s="71" t="s">
        <v>392</v>
      </c>
      <c r="L65" s="71"/>
      <c r="M65" s="71"/>
      <c r="N65" s="71"/>
      <c r="O65" s="73"/>
      <c r="P65" s="2" t="s">
        <v>83</v>
      </c>
      <c r="Q65" s="2"/>
      <c r="R65" s="119"/>
      <c r="S65" s="120"/>
    </row>
    <row r="66" spans="2:19">
      <c r="B66" s="69">
        <v>52</v>
      </c>
      <c r="C66" s="71" t="s">
        <v>393</v>
      </c>
      <c r="D66" s="71" t="s">
        <v>163</v>
      </c>
      <c r="E66" s="110" t="s">
        <v>394</v>
      </c>
      <c r="F66" s="73">
        <v>93365195</v>
      </c>
      <c r="G66" s="71"/>
      <c r="H66" s="71"/>
      <c r="I66" s="71" t="s">
        <v>211</v>
      </c>
      <c r="J66" s="71" t="s">
        <v>395</v>
      </c>
      <c r="K66" s="71" t="s">
        <v>396</v>
      </c>
      <c r="L66" s="71"/>
      <c r="M66" s="71"/>
      <c r="N66" s="71"/>
      <c r="O66" s="73"/>
      <c r="P66" s="2" t="s">
        <v>83</v>
      </c>
      <c r="Q66" s="2"/>
      <c r="R66" s="119"/>
      <c r="S66" s="120"/>
    </row>
    <row r="67" spans="2:19">
      <c r="B67" s="111">
        <v>53</v>
      </c>
      <c r="C67" s="112" t="s">
        <v>397</v>
      </c>
      <c r="D67" s="112" t="s">
        <v>163</v>
      </c>
      <c r="E67" s="113" t="s">
        <v>398</v>
      </c>
      <c r="F67" s="114">
        <v>97606453</v>
      </c>
      <c r="G67" s="112" t="s">
        <v>80</v>
      </c>
      <c r="H67" s="112" t="s">
        <v>231</v>
      </c>
      <c r="I67" s="112" t="s">
        <v>171</v>
      </c>
      <c r="J67" s="112" t="s">
        <v>267</v>
      </c>
      <c r="K67" s="112" t="s">
        <v>399</v>
      </c>
      <c r="L67" s="112" t="s">
        <v>208</v>
      </c>
      <c r="M67" s="112"/>
      <c r="N67" s="112"/>
      <c r="O67" s="114" t="s">
        <v>234</v>
      </c>
      <c r="P67" s="123" t="s">
        <v>75</v>
      </c>
      <c r="Q67" s="123" t="s">
        <v>400</v>
      </c>
      <c r="R67" s="124" t="s">
        <v>180</v>
      </c>
      <c r="S67" s="125"/>
    </row>
    <row r="68" spans="2:19">
      <c r="B68" s="69">
        <v>54</v>
      </c>
      <c r="C68" s="71" t="s">
        <v>401</v>
      </c>
      <c r="D68" s="71" t="s">
        <v>163</v>
      </c>
      <c r="E68" s="110" t="s">
        <v>402</v>
      </c>
      <c r="F68" s="73">
        <v>82186793</v>
      </c>
      <c r="G68" s="71"/>
      <c r="H68" s="71"/>
      <c r="I68" s="71" t="s">
        <v>165</v>
      </c>
      <c r="J68" s="71" t="s">
        <v>403</v>
      </c>
      <c r="K68" s="71" t="s">
        <v>404</v>
      </c>
      <c r="L68" s="71"/>
      <c r="M68" s="71"/>
      <c r="N68" s="71"/>
      <c r="O68" s="73"/>
      <c r="P68" s="2" t="s">
        <v>83</v>
      </c>
      <c r="Q68" s="2"/>
      <c r="R68" s="119"/>
      <c r="S68" s="120"/>
    </row>
    <row r="69" spans="2:19">
      <c r="B69" s="69">
        <v>55</v>
      </c>
      <c r="C69" s="71" t="s">
        <v>405</v>
      </c>
      <c r="D69" s="71" t="s">
        <v>163</v>
      </c>
      <c r="E69" s="110" t="s">
        <v>406</v>
      </c>
      <c r="F69" s="73">
        <v>98369287</v>
      </c>
      <c r="G69" s="71" t="s">
        <v>80</v>
      </c>
      <c r="H69" s="71"/>
      <c r="I69" s="71" t="s">
        <v>165</v>
      </c>
      <c r="J69" s="71" t="s">
        <v>275</v>
      </c>
      <c r="K69" s="71" t="s">
        <v>407</v>
      </c>
      <c r="L69" s="71"/>
      <c r="M69" s="71"/>
      <c r="N69" s="71"/>
      <c r="O69" s="73"/>
      <c r="P69" s="2" t="s">
        <v>75</v>
      </c>
      <c r="Q69" s="2" t="s">
        <v>179</v>
      </c>
      <c r="R69" s="119" t="s">
        <v>180</v>
      </c>
      <c r="S69" s="120"/>
    </row>
    <row r="70" spans="2:19">
      <c r="B70" s="69">
        <v>56</v>
      </c>
      <c r="C70" s="71" t="s">
        <v>408</v>
      </c>
      <c r="D70" s="71" t="s">
        <v>163</v>
      </c>
      <c r="E70" s="110" t="s">
        <v>409</v>
      </c>
      <c r="F70" s="73">
        <v>91728501</v>
      </c>
      <c r="G70" s="71"/>
      <c r="H70" s="71"/>
      <c r="I70" s="71" t="s">
        <v>165</v>
      </c>
      <c r="J70" s="71" t="s">
        <v>410</v>
      </c>
      <c r="K70" s="71" t="s">
        <v>411</v>
      </c>
      <c r="L70" s="71"/>
      <c r="M70" s="71"/>
      <c r="N70" s="71"/>
      <c r="O70" s="73"/>
      <c r="P70" s="2"/>
      <c r="Q70" s="2"/>
      <c r="R70" s="119" t="s">
        <v>180</v>
      </c>
      <c r="S70" s="120"/>
    </row>
    <row r="71" spans="2:19">
      <c r="B71" s="69">
        <v>57</v>
      </c>
      <c r="C71" s="71" t="s">
        <v>412</v>
      </c>
      <c r="D71" s="71" t="s">
        <v>163</v>
      </c>
      <c r="E71" s="110" t="s">
        <v>413</v>
      </c>
      <c r="F71" s="73">
        <v>90109420</v>
      </c>
      <c r="G71" s="71"/>
      <c r="H71" s="71"/>
      <c r="I71" s="71" t="s">
        <v>165</v>
      </c>
      <c r="J71" s="71" t="s">
        <v>414</v>
      </c>
      <c r="K71" s="71" t="s">
        <v>415</v>
      </c>
      <c r="L71" s="71"/>
      <c r="M71" s="71"/>
      <c r="N71" s="71"/>
      <c r="O71" s="73"/>
      <c r="P71" s="2" t="s">
        <v>83</v>
      </c>
      <c r="Q71" s="2"/>
      <c r="R71" s="119"/>
      <c r="S71" s="120"/>
    </row>
    <row r="72" spans="2:19">
      <c r="B72" s="69">
        <v>58</v>
      </c>
      <c r="C72" s="71" t="s">
        <v>416</v>
      </c>
      <c r="D72" s="71" t="s">
        <v>163</v>
      </c>
      <c r="E72" s="110" t="s">
        <v>417</v>
      </c>
      <c r="F72" s="73">
        <v>90681123</v>
      </c>
      <c r="G72" s="71"/>
      <c r="H72" s="71"/>
      <c r="I72" s="71" t="s">
        <v>165</v>
      </c>
      <c r="J72" s="71" t="s">
        <v>418</v>
      </c>
      <c r="K72" s="71" t="s">
        <v>419</v>
      </c>
      <c r="L72" s="71"/>
      <c r="M72" s="71"/>
      <c r="N72" s="71"/>
      <c r="O72" s="73"/>
      <c r="P72" s="2" t="s">
        <v>83</v>
      </c>
      <c r="Q72" s="2"/>
      <c r="R72" s="119"/>
      <c r="S72" s="120"/>
    </row>
    <row r="73" spans="2:19">
      <c r="B73" s="69">
        <v>59</v>
      </c>
      <c r="C73" s="71" t="s">
        <v>420</v>
      </c>
      <c r="D73" s="71" t="s">
        <v>163</v>
      </c>
      <c r="E73" s="110" t="s">
        <v>421</v>
      </c>
      <c r="F73" s="73">
        <v>82181056</v>
      </c>
      <c r="G73" s="71"/>
      <c r="H73" s="71"/>
      <c r="I73" s="71" t="s">
        <v>171</v>
      </c>
      <c r="J73" s="71" t="s">
        <v>422</v>
      </c>
      <c r="K73" s="71" t="s">
        <v>423</v>
      </c>
      <c r="L73" s="71"/>
      <c r="M73" s="71"/>
      <c r="N73" s="71"/>
      <c r="O73" s="73"/>
      <c r="P73" s="2"/>
      <c r="Q73" s="2"/>
      <c r="R73" s="119" t="s">
        <v>180</v>
      </c>
      <c r="S73" s="120"/>
    </row>
    <row r="74" spans="2:19">
      <c r="B74" s="111">
        <v>60</v>
      </c>
      <c r="C74" s="112" t="s">
        <v>424</v>
      </c>
      <c r="D74" s="112" t="s">
        <v>163</v>
      </c>
      <c r="E74" s="113" t="s">
        <v>425</v>
      </c>
      <c r="F74" s="114">
        <v>98299910</v>
      </c>
      <c r="G74" s="112" t="s">
        <v>80</v>
      </c>
      <c r="H74" s="112" t="s">
        <v>231</v>
      </c>
      <c r="I74" s="112" t="s">
        <v>165</v>
      </c>
      <c r="J74" s="112" t="s">
        <v>426</v>
      </c>
      <c r="K74" s="112" t="s">
        <v>427</v>
      </c>
      <c r="L74" s="112" t="s">
        <v>208</v>
      </c>
      <c r="M74" s="112" t="s">
        <v>228</v>
      </c>
      <c r="N74" s="112"/>
      <c r="O74" s="114" t="s">
        <v>234</v>
      </c>
      <c r="P74" s="123" t="s">
        <v>75</v>
      </c>
      <c r="Q74" s="123" t="s">
        <v>428</v>
      </c>
      <c r="R74" s="124" t="s">
        <v>180</v>
      </c>
      <c r="S74" s="125"/>
    </row>
    <row r="75" spans="2:19">
      <c r="B75" s="69">
        <v>61</v>
      </c>
      <c r="C75" s="71" t="s">
        <v>429</v>
      </c>
      <c r="D75" s="71" t="s">
        <v>163</v>
      </c>
      <c r="E75" s="110" t="s">
        <v>430</v>
      </c>
      <c r="F75" s="73">
        <v>93215171</v>
      </c>
      <c r="G75" s="71"/>
      <c r="H75" s="71"/>
      <c r="I75" s="71" t="s">
        <v>165</v>
      </c>
      <c r="J75" s="71" t="s">
        <v>317</v>
      </c>
      <c r="K75" s="71" t="s">
        <v>431</v>
      </c>
      <c r="L75" s="71"/>
      <c r="M75" s="71"/>
      <c r="N75" s="71"/>
      <c r="O75" s="73"/>
      <c r="P75" s="2" t="s">
        <v>83</v>
      </c>
      <c r="Q75" s="2"/>
      <c r="R75" s="119"/>
      <c r="S75" s="120"/>
    </row>
    <row r="76" spans="2:19">
      <c r="B76" s="69">
        <v>62</v>
      </c>
      <c r="C76" s="71" t="s">
        <v>432</v>
      </c>
      <c r="D76" s="71" t="s">
        <v>163</v>
      </c>
      <c r="E76" s="110" t="s">
        <v>433</v>
      </c>
      <c r="F76" s="73">
        <v>91130381</v>
      </c>
      <c r="G76" s="71"/>
      <c r="H76" s="71"/>
      <c r="I76" s="71" t="s">
        <v>211</v>
      </c>
      <c r="J76" s="71" t="s">
        <v>434</v>
      </c>
      <c r="K76" s="71" t="s">
        <v>435</v>
      </c>
      <c r="L76" s="71"/>
      <c r="M76" s="71"/>
      <c r="N76" s="71"/>
      <c r="O76" s="73"/>
      <c r="P76" s="2" t="s">
        <v>83</v>
      </c>
      <c r="Q76" s="2"/>
      <c r="R76" s="119"/>
      <c r="S76" s="120"/>
    </row>
    <row r="77" spans="2:19">
      <c r="B77" s="69">
        <v>63</v>
      </c>
      <c r="C77" s="71" t="s">
        <v>436</v>
      </c>
      <c r="D77" s="71" t="s">
        <v>163</v>
      </c>
      <c r="E77" s="110" t="s">
        <v>437</v>
      </c>
      <c r="F77" s="73">
        <v>97837513</v>
      </c>
      <c r="G77" s="71"/>
      <c r="H77" s="71"/>
      <c r="I77" s="71" t="s">
        <v>165</v>
      </c>
      <c r="J77" s="71" t="s">
        <v>438</v>
      </c>
      <c r="K77" s="71" t="s">
        <v>439</v>
      </c>
      <c r="L77" s="71"/>
      <c r="M77" s="71"/>
      <c r="N77" s="71"/>
      <c r="O77" s="73"/>
      <c r="P77" s="2" t="s">
        <v>83</v>
      </c>
      <c r="Q77" s="2"/>
      <c r="R77" s="119"/>
      <c r="S77" s="120"/>
    </row>
    <row r="78" spans="2:19">
      <c r="B78" s="69">
        <v>64</v>
      </c>
      <c r="C78" s="71" t="s">
        <v>440</v>
      </c>
      <c r="D78" s="71" t="s">
        <v>183</v>
      </c>
      <c r="E78" s="110" t="s">
        <v>441</v>
      </c>
      <c r="F78" s="73">
        <v>90668777</v>
      </c>
      <c r="G78" s="71"/>
      <c r="H78" s="71"/>
      <c r="I78" s="71" t="s">
        <v>211</v>
      </c>
      <c r="J78" s="71" t="s">
        <v>442</v>
      </c>
      <c r="K78" s="71" t="s">
        <v>443</v>
      </c>
      <c r="L78" s="71"/>
      <c r="M78" s="71"/>
      <c r="N78" s="71"/>
      <c r="O78" s="73"/>
      <c r="P78" s="2"/>
      <c r="Q78" s="2"/>
      <c r="R78" s="119" t="s">
        <v>180</v>
      </c>
      <c r="S78" s="120"/>
    </row>
    <row r="79" spans="2:19">
      <c r="B79" s="69">
        <v>65</v>
      </c>
      <c r="C79" s="71" t="s">
        <v>444</v>
      </c>
      <c r="D79" s="71" t="s">
        <v>183</v>
      </c>
      <c r="E79" s="110" t="s">
        <v>445</v>
      </c>
      <c r="F79" s="73">
        <v>92387929</v>
      </c>
      <c r="G79" s="71" t="s">
        <v>80</v>
      </c>
      <c r="H79" s="71"/>
      <c r="I79" s="71" t="s">
        <v>165</v>
      </c>
      <c r="J79" s="71" t="s">
        <v>446</v>
      </c>
      <c r="K79" s="71" t="s">
        <v>447</v>
      </c>
      <c r="L79" s="71"/>
      <c r="M79" s="71"/>
      <c r="N79" s="71"/>
      <c r="O79" s="73"/>
      <c r="P79" s="2" t="s">
        <v>75</v>
      </c>
      <c r="Q79" s="2" t="s">
        <v>179</v>
      </c>
      <c r="R79" s="119" t="s">
        <v>180</v>
      </c>
      <c r="S79" s="120"/>
    </row>
    <row r="80" spans="2:19">
      <c r="B80" s="69">
        <v>66</v>
      </c>
      <c r="C80" s="71" t="s">
        <v>448</v>
      </c>
      <c r="D80" s="71" t="s">
        <v>163</v>
      </c>
      <c r="E80" s="110" t="s">
        <v>449</v>
      </c>
      <c r="F80" s="73">
        <v>83176088</v>
      </c>
      <c r="G80" s="71"/>
      <c r="H80" s="71"/>
      <c r="I80" s="71" t="s">
        <v>371</v>
      </c>
      <c r="J80" s="71" t="s">
        <v>450</v>
      </c>
      <c r="K80" s="71" t="s">
        <v>451</v>
      </c>
      <c r="L80" s="71"/>
      <c r="M80" s="71"/>
      <c r="N80" s="71"/>
      <c r="O80" s="73"/>
      <c r="P80" s="2"/>
      <c r="Q80" s="2"/>
      <c r="R80" s="119" t="s">
        <v>180</v>
      </c>
      <c r="S80" s="120"/>
    </row>
    <row r="81" spans="2:19">
      <c r="B81" s="69">
        <v>67</v>
      </c>
      <c r="C81" s="71" t="s">
        <v>452</v>
      </c>
      <c r="D81" s="71" t="s">
        <v>163</v>
      </c>
      <c r="E81" s="110" t="s">
        <v>453</v>
      </c>
      <c r="F81" s="73">
        <v>96195538</v>
      </c>
      <c r="G81" s="71" t="s">
        <v>72</v>
      </c>
      <c r="H81" s="71" t="s">
        <v>231</v>
      </c>
      <c r="I81" s="71" t="s">
        <v>165</v>
      </c>
      <c r="J81" s="71" t="s">
        <v>275</v>
      </c>
      <c r="K81" s="71" t="s">
        <v>454</v>
      </c>
      <c r="L81" s="71" t="s">
        <v>168</v>
      </c>
      <c r="M81" s="71" t="s">
        <v>228</v>
      </c>
      <c r="N81" s="71"/>
      <c r="O81" s="73" t="s">
        <v>234</v>
      </c>
      <c r="P81" s="123" t="s">
        <v>75</v>
      </c>
      <c r="Q81" s="2" t="s">
        <v>235</v>
      </c>
      <c r="R81" s="119" t="s">
        <v>180</v>
      </c>
      <c r="S81" s="120"/>
    </row>
    <row r="82" spans="2:19">
      <c r="B82" s="69">
        <v>68</v>
      </c>
      <c r="C82" s="71" t="s">
        <v>455</v>
      </c>
      <c r="D82" s="71" t="s">
        <v>163</v>
      </c>
      <c r="E82" s="110" t="s">
        <v>456</v>
      </c>
      <c r="F82" s="73">
        <v>92214363</v>
      </c>
      <c r="G82" s="71"/>
      <c r="H82" s="71"/>
      <c r="I82" s="71" t="s">
        <v>165</v>
      </c>
      <c r="J82" s="71" t="s">
        <v>457</v>
      </c>
      <c r="K82" s="71" t="s">
        <v>458</v>
      </c>
      <c r="L82" s="71"/>
      <c r="M82" s="71"/>
      <c r="N82" s="71"/>
      <c r="O82" s="73"/>
      <c r="P82" s="2" t="s">
        <v>83</v>
      </c>
      <c r="Q82" s="2"/>
      <c r="R82" s="119"/>
      <c r="S82" s="120"/>
    </row>
    <row r="83" spans="2:19">
      <c r="B83" s="69">
        <v>69</v>
      </c>
      <c r="C83" s="71" t="s">
        <v>459</v>
      </c>
      <c r="D83" s="71" t="s">
        <v>163</v>
      </c>
      <c r="E83" s="110" t="s">
        <v>460</v>
      </c>
      <c r="F83" s="73">
        <v>88268396</v>
      </c>
      <c r="G83" s="71"/>
      <c r="H83" s="71"/>
      <c r="I83" s="71" t="s">
        <v>165</v>
      </c>
      <c r="J83" s="71" t="s">
        <v>363</v>
      </c>
      <c r="K83" s="71" t="s">
        <v>461</v>
      </c>
      <c r="L83" s="71"/>
      <c r="M83" s="71"/>
      <c r="N83" s="71"/>
      <c r="O83" s="73"/>
      <c r="P83" s="2" t="s">
        <v>83</v>
      </c>
      <c r="Q83" s="2"/>
      <c r="R83" s="119"/>
      <c r="S83" s="120"/>
    </row>
    <row r="84" spans="2:19">
      <c r="B84" s="69">
        <v>70</v>
      </c>
      <c r="C84" s="71" t="s">
        <v>462</v>
      </c>
      <c r="D84" s="71" t="s">
        <v>163</v>
      </c>
      <c r="E84" s="110" t="s">
        <v>463</v>
      </c>
      <c r="F84" s="73">
        <v>81829251</v>
      </c>
      <c r="G84" s="71"/>
      <c r="H84" s="71"/>
      <c r="I84" s="71" t="s">
        <v>165</v>
      </c>
      <c r="J84" s="71" t="s">
        <v>395</v>
      </c>
      <c r="K84" s="71" t="s">
        <v>464</v>
      </c>
      <c r="L84" s="71"/>
      <c r="M84" s="71"/>
      <c r="N84" s="71"/>
      <c r="O84" s="73"/>
      <c r="P84" s="2" t="s">
        <v>108</v>
      </c>
      <c r="Q84" s="2" t="s">
        <v>246</v>
      </c>
      <c r="R84" s="119" t="s">
        <v>180</v>
      </c>
      <c r="S84" s="120"/>
    </row>
    <row r="85" spans="2:19">
      <c r="B85" s="69">
        <v>71</v>
      </c>
      <c r="C85" s="71" t="s">
        <v>465</v>
      </c>
      <c r="D85" s="71" t="s">
        <v>163</v>
      </c>
      <c r="E85" s="110" t="s">
        <v>466</v>
      </c>
      <c r="F85" s="73">
        <v>88010912</v>
      </c>
      <c r="G85" s="71" t="s">
        <v>80</v>
      </c>
      <c r="H85" s="71"/>
      <c r="I85" s="71" t="s">
        <v>211</v>
      </c>
      <c r="J85" s="71" t="s">
        <v>467</v>
      </c>
      <c r="K85" s="71" t="s">
        <v>468</v>
      </c>
      <c r="L85" s="71"/>
      <c r="M85" s="71"/>
      <c r="N85" s="71"/>
      <c r="O85" s="73"/>
      <c r="P85" s="2" t="s">
        <v>75</v>
      </c>
      <c r="Q85" s="2" t="s">
        <v>179</v>
      </c>
      <c r="R85" s="119" t="s">
        <v>180</v>
      </c>
      <c r="S85" s="120"/>
    </row>
    <row r="86" spans="2:19">
      <c r="B86" s="69">
        <v>72</v>
      </c>
      <c r="C86" s="71" t="s">
        <v>469</v>
      </c>
      <c r="D86" s="71" t="s">
        <v>163</v>
      </c>
      <c r="E86" s="110" t="s">
        <v>470</v>
      </c>
      <c r="F86" s="73">
        <v>90036625</v>
      </c>
      <c r="G86" s="71" t="s">
        <v>65</v>
      </c>
      <c r="H86" s="71" t="s">
        <v>231</v>
      </c>
      <c r="I86" s="71" t="s">
        <v>165</v>
      </c>
      <c r="J86" s="71" t="s">
        <v>471</v>
      </c>
      <c r="K86" s="71" t="s">
        <v>472</v>
      </c>
      <c r="L86" s="71" t="s">
        <v>228</v>
      </c>
      <c r="M86" s="71"/>
      <c r="N86" s="71"/>
      <c r="O86" s="73" t="s">
        <v>234</v>
      </c>
      <c r="P86" s="2" t="s">
        <v>108</v>
      </c>
      <c r="Q86" s="2" t="s">
        <v>473</v>
      </c>
      <c r="R86" s="119" t="s">
        <v>180</v>
      </c>
      <c r="S86" s="120"/>
    </row>
    <row r="87" spans="2:19">
      <c r="B87" s="69">
        <v>73</v>
      </c>
      <c r="C87" s="71" t="s">
        <v>474</v>
      </c>
      <c r="D87" s="71" t="s">
        <v>163</v>
      </c>
      <c r="E87" s="110" t="s">
        <v>475</v>
      </c>
      <c r="F87" s="73">
        <v>91529211</v>
      </c>
      <c r="G87" s="71"/>
      <c r="H87" s="71"/>
      <c r="I87" s="71" t="s">
        <v>165</v>
      </c>
      <c r="J87" s="71" t="s">
        <v>476</v>
      </c>
      <c r="K87" s="71" t="s">
        <v>477</v>
      </c>
      <c r="L87" s="71"/>
      <c r="M87" s="71"/>
      <c r="N87" s="71"/>
      <c r="O87" s="73"/>
      <c r="P87" s="2"/>
      <c r="Q87" s="2"/>
      <c r="R87" s="119" t="s">
        <v>180</v>
      </c>
      <c r="S87" s="120"/>
    </row>
    <row r="88" spans="2:19">
      <c r="B88" s="69">
        <v>74</v>
      </c>
      <c r="C88" s="71" t="s">
        <v>478</v>
      </c>
      <c r="D88" s="71" t="s">
        <v>183</v>
      </c>
      <c r="E88" s="110" t="s">
        <v>479</v>
      </c>
      <c r="F88" s="73">
        <v>91540998</v>
      </c>
      <c r="G88" s="71" t="s">
        <v>80</v>
      </c>
      <c r="H88" s="71" t="s">
        <v>199</v>
      </c>
      <c r="I88" s="71" t="s">
        <v>171</v>
      </c>
      <c r="J88" s="71" t="s">
        <v>480</v>
      </c>
      <c r="K88" s="71" t="s">
        <v>481</v>
      </c>
      <c r="L88" s="71" t="s">
        <v>208</v>
      </c>
      <c r="M88" s="71" t="s">
        <v>192</v>
      </c>
      <c r="N88" s="71" t="s">
        <v>168</v>
      </c>
      <c r="O88" s="73" t="s">
        <v>234</v>
      </c>
      <c r="P88" s="2" t="s">
        <v>101</v>
      </c>
      <c r="Q88" s="2"/>
      <c r="R88" s="119">
        <v>44147</v>
      </c>
      <c r="S88" s="120">
        <v>44168</v>
      </c>
    </row>
    <row r="89" spans="2:19">
      <c r="B89" s="69">
        <v>75</v>
      </c>
      <c r="C89" s="71" t="s">
        <v>482</v>
      </c>
      <c r="D89" s="71" t="s">
        <v>183</v>
      </c>
      <c r="E89" s="110" t="s">
        <v>483</v>
      </c>
      <c r="F89" s="73">
        <v>82330515</v>
      </c>
      <c r="G89" s="71"/>
      <c r="H89" s="71"/>
      <c r="I89" s="71" t="s">
        <v>211</v>
      </c>
      <c r="J89" s="71" t="s">
        <v>484</v>
      </c>
      <c r="K89" s="71" t="s">
        <v>485</v>
      </c>
      <c r="L89" s="71"/>
      <c r="M89" s="71"/>
      <c r="N89" s="71"/>
      <c r="O89" s="73"/>
      <c r="P89" s="2"/>
      <c r="Q89" s="2"/>
      <c r="R89" s="2" t="s">
        <v>180</v>
      </c>
      <c r="S89" s="7"/>
    </row>
    <row r="90" spans="2:19">
      <c r="B90" s="69">
        <v>76</v>
      </c>
      <c r="C90" s="71" t="s">
        <v>486</v>
      </c>
      <c r="D90" s="71" t="s">
        <v>163</v>
      </c>
      <c r="E90" s="110" t="s">
        <v>487</v>
      </c>
      <c r="F90" s="73">
        <v>87004394</v>
      </c>
      <c r="G90" s="71" t="s">
        <v>80</v>
      </c>
      <c r="H90" s="71" t="s">
        <v>199</v>
      </c>
      <c r="I90" s="71" t="s">
        <v>316</v>
      </c>
      <c r="J90" s="71" t="s">
        <v>484</v>
      </c>
      <c r="K90" s="71" t="s">
        <v>488</v>
      </c>
      <c r="L90" s="71" t="s">
        <v>196</v>
      </c>
      <c r="M90" s="71"/>
      <c r="N90" s="71"/>
      <c r="O90" s="73" t="s">
        <v>234</v>
      </c>
      <c r="P90" s="2" t="s">
        <v>71</v>
      </c>
      <c r="Q90" s="2" t="s">
        <v>489</v>
      </c>
      <c r="R90" s="2"/>
      <c r="S90" s="7"/>
    </row>
    <row r="91" spans="2:19">
      <c r="B91" s="69">
        <v>77</v>
      </c>
      <c r="C91" s="71" t="s">
        <v>490</v>
      </c>
      <c r="D91" s="71" t="s">
        <v>163</v>
      </c>
      <c r="E91" s="110" t="s">
        <v>491</v>
      </c>
      <c r="F91" s="73">
        <v>83885634</v>
      </c>
      <c r="G91" s="71"/>
      <c r="H91" s="71"/>
      <c r="I91" s="71" t="s">
        <v>165</v>
      </c>
      <c r="J91" s="71" t="s">
        <v>492</v>
      </c>
      <c r="K91" s="71" t="s">
        <v>493</v>
      </c>
      <c r="L91" s="71"/>
      <c r="M91" s="71"/>
      <c r="N91" s="71"/>
      <c r="O91" s="73"/>
      <c r="P91" s="2"/>
      <c r="Q91" s="2"/>
      <c r="R91" s="2" t="s">
        <v>180</v>
      </c>
      <c r="S91" s="7"/>
    </row>
    <row r="92" spans="2:19">
      <c r="B92" s="69">
        <v>78</v>
      </c>
      <c r="C92" s="71" t="s">
        <v>494</v>
      </c>
      <c r="D92" s="71" t="s">
        <v>163</v>
      </c>
      <c r="E92" s="110" t="s">
        <v>495</v>
      </c>
      <c r="F92" s="73">
        <v>96508163</v>
      </c>
      <c r="G92" s="71"/>
      <c r="H92" s="71"/>
      <c r="I92" s="71" t="s">
        <v>165</v>
      </c>
      <c r="J92" s="71" t="s">
        <v>496</v>
      </c>
      <c r="K92" s="71" t="s">
        <v>497</v>
      </c>
      <c r="L92" s="71"/>
      <c r="M92" s="71"/>
      <c r="N92" s="71"/>
      <c r="O92" s="73"/>
      <c r="P92" s="2"/>
      <c r="Q92" s="2"/>
      <c r="R92" s="2" t="s">
        <v>180</v>
      </c>
      <c r="S92" s="7"/>
    </row>
    <row r="93" spans="2:19">
      <c r="B93" s="69">
        <v>79</v>
      </c>
      <c r="C93" s="71" t="s">
        <v>498</v>
      </c>
      <c r="D93" s="71" t="s">
        <v>163</v>
      </c>
      <c r="E93" s="110" t="s">
        <v>499</v>
      </c>
      <c r="F93" s="73">
        <v>88936797</v>
      </c>
      <c r="G93" s="71" t="s">
        <v>72</v>
      </c>
      <c r="H93" s="71" t="s">
        <v>231</v>
      </c>
      <c r="I93" s="71" t="s">
        <v>165</v>
      </c>
      <c r="J93" s="71" t="s">
        <v>317</v>
      </c>
      <c r="K93" s="71" t="s">
        <v>500</v>
      </c>
      <c r="L93" s="71" t="s">
        <v>181</v>
      </c>
      <c r="M93" s="71" t="s">
        <v>187</v>
      </c>
      <c r="N93" s="71" t="s">
        <v>223</v>
      </c>
      <c r="O93" s="115">
        <v>44166</v>
      </c>
      <c r="P93" s="2" t="s">
        <v>108</v>
      </c>
      <c r="Q93" s="2" t="s">
        <v>501</v>
      </c>
      <c r="R93" s="2" t="s">
        <v>180</v>
      </c>
      <c r="S93" s="7"/>
    </row>
    <row r="94" spans="2:19">
      <c r="B94" s="69">
        <v>80</v>
      </c>
      <c r="C94" s="71" t="s">
        <v>502</v>
      </c>
      <c r="D94" s="71" t="s">
        <v>163</v>
      </c>
      <c r="E94" s="110" t="s">
        <v>503</v>
      </c>
      <c r="F94" s="73">
        <v>97535030</v>
      </c>
      <c r="G94" s="71"/>
      <c r="H94" s="71"/>
      <c r="I94" s="71" t="s">
        <v>165</v>
      </c>
      <c r="J94" s="71" t="s">
        <v>333</v>
      </c>
      <c r="K94" s="71" t="s">
        <v>503</v>
      </c>
      <c r="L94" s="71"/>
      <c r="M94" s="71"/>
      <c r="N94" s="71"/>
      <c r="O94" s="73"/>
      <c r="P94" s="2"/>
      <c r="Q94" s="2"/>
      <c r="R94" s="2" t="s">
        <v>180</v>
      </c>
      <c r="S94" s="7"/>
    </row>
    <row r="95" spans="2:19">
      <c r="B95" s="69">
        <v>81</v>
      </c>
      <c r="C95" s="71" t="s">
        <v>504</v>
      </c>
      <c r="D95" s="71" t="s">
        <v>163</v>
      </c>
      <c r="E95" s="110" t="s">
        <v>505</v>
      </c>
      <c r="F95" s="73">
        <v>92207327</v>
      </c>
      <c r="G95" s="71" t="s">
        <v>80</v>
      </c>
      <c r="H95" s="71"/>
      <c r="I95" s="71" t="s">
        <v>165</v>
      </c>
      <c r="J95" s="71" t="s">
        <v>496</v>
      </c>
      <c r="K95" s="71" t="s">
        <v>506</v>
      </c>
      <c r="L95" s="71"/>
      <c r="M95" s="71"/>
      <c r="N95" s="71"/>
      <c r="O95" s="73"/>
      <c r="P95" s="2" t="s">
        <v>75</v>
      </c>
      <c r="Q95" s="2" t="s">
        <v>179</v>
      </c>
      <c r="R95" s="2" t="s">
        <v>180</v>
      </c>
      <c r="S95" s="7"/>
    </row>
    <row r="96" spans="2:19">
      <c r="B96" s="69">
        <v>82</v>
      </c>
      <c r="C96" s="71" t="s">
        <v>507</v>
      </c>
      <c r="D96" s="71" t="s">
        <v>163</v>
      </c>
      <c r="E96" s="110" t="s">
        <v>508</v>
      </c>
      <c r="F96" s="73">
        <v>96150215</v>
      </c>
      <c r="G96" s="71" t="s">
        <v>65</v>
      </c>
      <c r="H96" s="71" t="s">
        <v>231</v>
      </c>
      <c r="I96" s="71" t="s">
        <v>165</v>
      </c>
      <c r="J96" s="71" t="s">
        <v>509</v>
      </c>
      <c r="K96" s="71" t="s">
        <v>510</v>
      </c>
      <c r="L96" s="71" t="s">
        <v>228</v>
      </c>
      <c r="M96" s="71" t="s">
        <v>208</v>
      </c>
      <c r="N96" s="71"/>
      <c r="O96" s="73"/>
      <c r="P96" s="2" t="s">
        <v>108</v>
      </c>
      <c r="Q96" s="2" t="s">
        <v>511</v>
      </c>
      <c r="R96" s="2" t="s">
        <v>180</v>
      </c>
      <c r="S96" s="7"/>
    </row>
    <row r="97" spans="2:19">
      <c r="B97" s="69">
        <v>83</v>
      </c>
      <c r="C97" s="71" t="s">
        <v>512</v>
      </c>
      <c r="D97" s="71" t="s">
        <v>163</v>
      </c>
      <c r="E97" s="110" t="s">
        <v>513</v>
      </c>
      <c r="F97" s="73">
        <v>97281695</v>
      </c>
      <c r="G97" s="71"/>
      <c r="H97" s="71"/>
      <c r="I97" s="71" t="s">
        <v>165</v>
      </c>
      <c r="J97" s="71" t="s">
        <v>166</v>
      </c>
      <c r="K97" s="71" t="s">
        <v>514</v>
      </c>
      <c r="L97" s="71"/>
      <c r="M97" s="71"/>
      <c r="N97" s="71"/>
      <c r="O97" s="73"/>
      <c r="P97" s="2" t="s">
        <v>83</v>
      </c>
      <c r="Q97" s="2"/>
      <c r="R97" s="2"/>
      <c r="S97" s="7"/>
    </row>
    <row r="98" spans="2:19">
      <c r="B98" s="69">
        <v>84</v>
      </c>
      <c r="C98" s="71" t="s">
        <v>515</v>
      </c>
      <c r="D98" s="71" t="s">
        <v>163</v>
      </c>
      <c r="E98" s="110" t="s">
        <v>516</v>
      </c>
      <c r="F98" s="73">
        <v>93838360</v>
      </c>
      <c r="G98" s="71" t="s">
        <v>80</v>
      </c>
      <c r="H98" s="71"/>
      <c r="I98" s="71" t="s">
        <v>165</v>
      </c>
      <c r="J98" s="71" t="s">
        <v>299</v>
      </c>
      <c r="K98" s="71" t="s">
        <v>517</v>
      </c>
      <c r="L98" s="71"/>
      <c r="M98" s="71"/>
      <c r="N98" s="71"/>
      <c r="O98" s="73"/>
      <c r="P98" s="2" t="s">
        <v>75</v>
      </c>
      <c r="Q98" s="2" t="s">
        <v>179</v>
      </c>
      <c r="R98" s="2" t="s">
        <v>180</v>
      </c>
      <c r="S98" s="7"/>
    </row>
    <row r="99" spans="2:19">
      <c r="B99" s="69">
        <v>85</v>
      </c>
      <c r="C99" s="71" t="s">
        <v>518</v>
      </c>
      <c r="D99" s="71" t="s">
        <v>183</v>
      </c>
      <c r="E99" s="110" t="s">
        <v>519</v>
      </c>
      <c r="F99" s="73">
        <v>82644348</v>
      </c>
      <c r="G99" s="71"/>
      <c r="H99" s="71"/>
      <c r="I99" s="71" t="s">
        <v>211</v>
      </c>
      <c r="J99" s="71" t="s">
        <v>520</v>
      </c>
      <c r="K99" s="71" t="s">
        <v>518</v>
      </c>
      <c r="L99" s="71"/>
      <c r="M99" s="71"/>
      <c r="N99" s="71"/>
      <c r="O99" s="73"/>
      <c r="P99" s="2"/>
      <c r="Q99" s="2"/>
      <c r="R99" s="2" t="s">
        <v>180</v>
      </c>
      <c r="S99" s="7"/>
    </row>
    <row r="100" spans="2:19">
      <c r="B100" s="69">
        <v>86</v>
      </c>
      <c r="C100" s="71" t="s">
        <v>521</v>
      </c>
      <c r="D100" s="71" t="s">
        <v>163</v>
      </c>
      <c r="E100" s="110" t="s">
        <v>522</v>
      </c>
      <c r="F100" s="73">
        <v>91511982</v>
      </c>
      <c r="G100" s="71"/>
      <c r="H100" s="71"/>
      <c r="I100" s="71" t="s">
        <v>165</v>
      </c>
      <c r="J100" s="71" t="s">
        <v>471</v>
      </c>
      <c r="K100" s="71" t="s">
        <v>523</v>
      </c>
      <c r="L100" s="71"/>
      <c r="M100" s="71"/>
      <c r="N100" s="71"/>
      <c r="O100" s="73"/>
      <c r="P100" s="2" t="s">
        <v>83</v>
      </c>
      <c r="Q100" s="2"/>
      <c r="R100" s="2"/>
      <c r="S100" s="7"/>
    </row>
    <row r="101" spans="2:19">
      <c r="B101" s="69">
        <v>87</v>
      </c>
      <c r="C101" s="71" t="s">
        <v>524</v>
      </c>
      <c r="D101" s="71" t="s">
        <v>163</v>
      </c>
      <c r="E101" s="110" t="s">
        <v>525</v>
      </c>
      <c r="F101" s="73">
        <v>97934618</v>
      </c>
      <c r="G101" s="71"/>
      <c r="H101" s="71"/>
      <c r="I101" s="71" t="s">
        <v>165</v>
      </c>
      <c r="J101" s="71" t="s">
        <v>526</v>
      </c>
      <c r="K101" s="71" t="s">
        <v>527</v>
      </c>
      <c r="L101" s="71"/>
      <c r="M101" s="71"/>
      <c r="N101" s="71"/>
      <c r="O101" s="73"/>
      <c r="P101" s="2"/>
      <c r="Q101" s="2"/>
      <c r="R101" s="2" t="s">
        <v>180</v>
      </c>
      <c r="S101" s="7"/>
    </row>
    <row r="102" spans="2:19">
      <c r="B102" s="69">
        <v>88</v>
      </c>
      <c r="C102" s="71" t="s">
        <v>528</v>
      </c>
      <c r="D102" s="71" t="s">
        <v>163</v>
      </c>
      <c r="E102" s="110" t="s">
        <v>529</v>
      </c>
      <c r="F102" s="73">
        <v>98582565</v>
      </c>
      <c r="G102" s="71" t="s">
        <v>80</v>
      </c>
      <c r="H102" s="71"/>
      <c r="I102" s="71" t="s">
        <v>165</v>
      </c>
      <c r="J102" s="71" t="s">
        <v>317</v>
      </c>
      <c r="K102" s="71" t="s">
        <v>530</v>
      </c>
      <c r="L102" s="71"/>
      <c r="M102" s="71"/>
      <c r="N102" s="71"/>
      <c r="O102" s="73"/>
      <c r="P102" s="2" t="s">
        <v>75</v>
      </c>
      <c r="Q102" s="2" t="s">
        <v>179</v>
      </c>
      <c r="R102" s="2" t="s">
        <v>180</v>
      </c>
      <c r="S102" s="7"/>
    </row>
    <row r="103" spans="2:19">
      <c r="B103" s="69">
        <v>89</v>
      </c>
      <c r="C103" s="71" t="s">
        <v>531</v>
      </c>
      <c r="D103" s="71" t="s">
        <v>163</v>
      </c>
      <c r="E103" s="110" t="s">
        <v>532</v>
      </c>
      <c r="F103" s="73">
        <v>81832397</v>
      </c>
      <c r="G103" s="71" t="s">
        <v>65</v>
      </c>
      <c r="H103" s="71" t="s">
        <v>231</v>
      </c>
      <c r="I103" s="71" t="s">
        <v>165</v>
      </c>
      <c r="J103" s="71" t="s">
        <v>533</v>
      </c>
      <c r="K103" s="71" t="s">
        <v>534</v>
      </c>
      <c r="L103" s="71" t="s">
        <v>228</v>
      </c>
      <c r="M103" s="71" t="s">
        <v>208</v>
      </c>
      <c r="N103" s="71"/>
      <c r="O103" s="73" t="s">
        <v>234</v>
      </c>
      <c r="P103" s="2" t="s">
        <v>108</v>
      </c>
      <c r="Q103" s="2" t="s">
        <v>535</v>
      </c>
      <c r="R103" s="2" t="s">
        <v>180</v>
      </c>
      <c r="S103" s="7"/>
    </row>
    <row r="104" spans="2:19">
      <c r="B104" s="69">
        <v>90</v>
      </c>
      <c r="C104" s="71" t="s">
        <v>536</v>
      </c>
      <c r="D104" s="71" t="s">
        <v>163</v>
      </c>
      <c r="E104" s="110" t="s">
        <v>537</v>
      </c>
      <c r="F104" s="73">
        <v>91732155</v>
      </c>
      <c r="G104" s="71"/>
      <c r="H104" s="71"/>
      <c r="I104" s="71" t="s">
        <v>171</v>
      </c>
      <c r="J104" s="71" t="s">
        <v>538</v>
      </c>
      <c r="K104" s="71" t="s">
        <v>539</v>
      </c>
      <c r="L104" s="71"/>
      <c r="M104" s="71"/>
      <c r="N104" s="71"/>
      <c r="O104" s="73"/>
      <c r="P104" s="2"/>
      <c r="Q104" s="2"/>
      <c r="R104" s="2" t="s">
        <v>180</v>
      </c>
      <c r="S104" s="7"/>
    </row>
    <row r="105" spans="2:19">
      <c r="B105" s="69">
        <v>91</v>
      </c>
      <c r="C105" s="71" t="s">
        <v>540</v>
      </c>
      <c r="D105" s="71" t="s">
        <v>163</v>
      </c>
      <c r="E105" s="110" t="s">
        <v>541</v>
      </c>
      <c r="F105" s="73">
        <v>85111183</v>
      </c>
      <c r="G105" s="71"/>
      <c r="H105" s="71"/>
      <c r="I105" s="71" t="s">
        <v>211</v>
      </c>
      <c r="J105" s="71" t="s">
        <v>542</v>
      </c>
      <c r="K105" s="71" t="s">
        <v>543</v>
      </c>
      <c r="L105" s="71"/>
      <c r="M105" s="71"/>
      <c r="N105" s="71"/>
      <c r="O105" s="73"/>
      <c r="P105" s="2" t="s">
        <v>83</v>
      </c>
      <c r="Q105" s="2"/>
      <c r="R105" s="2"/>
      <c r="S105" s="7"/>
    </row>
    <row r="106" spans="2:19">
      <c r="B106" s="111">
        <v>92</v>
      </c>
      <c r="C106" s="112" t="s">
        <v>544</v>
      </c>
      <c r="D106" s="112" t="s">
        <v>163</v>
      </c>
      <c r="E106" s="113" t="s">
        <v>545</v>
      </c>
      <c r="F106" s="114">
        <v>98632802</v>
      </c>
      <c r="G106" s="112" t="s">
        <v>80</v>
      </c>
      <c r="H106" s="112" t="s">
        <v>231</v>
      </c>
      <c r="I106" s="112" t="s">
        <v>165</v>
      </c>
      <c r="J106" s="112" t="s">
        <v>546</v>
      </c>
      <c r="K106" s="112" t="s">
        <v>547</v>
      </c>
      <c r="L106" s="112" t="s">
        <v>208</v>
      </c>
      <c r="M106" s="112" t="s">
        <v>192</v>
      </c>
      <c r="N106" s="112" t="s">
        <v>168</v>
      </c>
      <c r="O106" s="114" t="s">
        <v>548</v>
      </c>
      <c r="P106" s="123" t="s">
        <v>75</v>
      </c>
      <c r="Q106" s="123" t="s">
        <v>549</v>
      </c>
      <c r="R106" s="123" t="s">
        <v>180</v>
      </c>
      <c r="S106" s="126"/>
    </row>
    <row r="107" spans="2:19">
      <c r="B107" s="69">
        <v>93</v>
      </c>
      <c r="C107" s="71" t="s">
        <v>550</v>
      </c>
      <c r="D107" s="71" t="s">
        <v>183</v>
      </c>
      <c r="E107" s="110" t="s">
        <v>551</v>
      </c>
      <c r="F107" s="76">
        <v>81573164</v>
      </c>
      <c r="G107" s="71" t="s">
        <v>72</v>
      </c>
      <c r="H107" s="71" t="s">
        <v>231</v>
      </c>
      <c r="I107" s="71" t="s">
        <v>211</v>
      </c>
      <c r="J107" s="71" t="s">
        <v>250</v>
      </c>
      <c r="K107" s="71" t="s">
        <v>552</v>
      </c>
      <c r="L107" s="71" t="s">
        <v>223</v>
      </c>
      <c r="M107" s="71" t="s">
        <v>168</v>
      </c>
      <c r="N107" s="71" t="s">
        <v>214</v>
      </c>
      <c r="O107" s="73" t="s">
        <v>234</v>
      </c>
      <c r="P107" s="2" t="s">
        <v>108</v>
      </c>
      <c r="Q107" s="2" t="s">
        <v>553</v>
      </c>
      <c r="R107" s="2" t="s">
        <v>180</v>
      </c>
      <c r="S107" s="7"/>
    </row>
    <row r="108" spans="2:19">
      <c r="B108" s="69">
        <v>94</v>
      </c>
      <c r="C108" s="75" t="s">
        <v>554</v>
      </c>
      <c r="D108" s="75" t="s">
        <v>163</v>
      </c>
      <c r="E108" s="110" t="s">
        <v>555</v>
      </c>
      <c r="F108" s="76">
        <v>92284584</v>
      </c>
      <c r="G108" s="71"/>
      <c r="H108" s="71"/>
      <c r="I108" s="71" t="s">
        <v>371</v>
      </c>
      <c r="J108" s="71" t="s">
        <v>556</v>
      </c>
      <c r="K108" s="71"/>
      <c r="L108" s="71"/>
      <c r="M108" s="71"/>
      <c r="N108" s="71"/>
      <c r="O108" s="73"/>
      <c r="P108" s="2" t="s">
        <v>83</v>
      </c>
      <c r="Q108" s="2"/>
      <c r="R108" s="8"/>
      <c r="S108" s="9"/>
    </row>
    <row r="109" spans="2:19">
      <c r="B109" s="69">
        <v>95</v>
      </c>
      <c r="C109" s="71" t="s">
        <v>557</v>
      </c>
      <c r="D109" s="71" t="s">
        <v>163</v>
      </c>
      <c r="E109" s="116"/>
      <c r="F109" s="73">
        <v>86126508</v>
      </c>
      <c r="G109" s="71"/>
      <c r="H109" s="71"/>
      <c r="I109" s="71" t="s">
        <v>171</v>
      </c>
      <c r="J109" s="71" t="s">
        <v>558</v>
      </c>
      <c r="K109" s="71" t="s">
        <v>559</v>
      </c>
      <c r="L109" s="71"/>
      <c r="M109" s="71"/>
      <c r="N109" s="71"/>
      <c r="O109" s="73"/>
      <c r="P109" s="2"/>
      <c r="Q109" s="2"/>
      <c r="R109" s="2" t="s">
        <v>180</v>
      </c>
      <c r="S109" s="7"/>
    </row>
    <row r="110" spans="2:19">
      <c r="B110" s="69">
        <v>96</v>
      </c>
      <c r="C110" s="71" t="s">
        <v>560</v>
      </c>
      <c r="D110" s="71" t="s">
        <v>163</v>
      </c>
      <c r="E110" s="116"/>
      <c r="F110" s="73">
        <v>96585077</v>
      </c>
      <c r="G110" s="71"/>
      <c r="H110" s="71"/>
      <c r="I110" s="71" t="s">
        <v>171</v>
      </c>
      <c r="J110" s="71" t="s">
        <v>561</v>
      </c>
      <c r="K110" s="71" t="s">
        <v>562</v>
      </c>
      <c r="L110" s="71"/>
      <c r="M110" s="71"/>
      <c r="N110" s="71"/>
      <c r="O110" s="73"/>
      <c r="P110" s="2"/>
      <c r="Q110" s="2"/>
      <c r="R110" s="2" t="s">
        <v>180</v>
      </c>
      <c r="S110" s="7"/>
    </row>
    <row r="111" spans="2:19">
      <c r="B111" s="69">
        <v>97</v>
      </c>
      <c r="C111" s="71" t="s">
        <v>563</v>
      </c>
      <c r="D111" s="71" t="s">
        <v>163</v>
      </c>
      <c r="E111" s="116"/>
      <c r="F111" s="73">
        <v>90602340</v>
      </c>
      <c r="G111" s="71"/>
      <c r="H111" s="71"/>
      <c r="I111" s="71" t="s">
        <v>165</v>
      </c>
      <c r="J111" s="71" t="s">
        <v>546</v>
      </c>
      <c r="K111" s="71"/>
      <c r="L111" s="71"/>
      <c r="M111" s="71"/>
      <c r="N111" s="71"/>
      <c r="O111" s="73"/>
      <c r="P111" s="2"/>
      <c r="Q111" s="2"/>
      <c r="R111" s="2" t="s">
        <v>180</v>
      </c>
      <c r="S111" s="7"/>
    </row>
    <row r="112" spans="2:19">
      <c r="B112" s="69">
        <v>98</v>
      </c>
      <c r="C112" s="71" t="s">
        <v>564</v>
      </c>
      <c r="D112" s="71" t="s">
        <v>163</v>
      </c>
      <c r="E112" s="116"/>
      <c r="F112" s="73">
        <v>94526370</v>
      </c>
      <c r="G112" s="71"/>
      <c r="H112" s="71"/>
      <c r="I112" s="71" t="s">
        <v>165</v>
      </c>
      <c r="J112" s="71" t="s">
        <v>565</v>
      </c>
      <c r="K112" s="71" t="s">
        <v>566</v>
      </c>
      <c r="L112" s="71"/>
      <c r="M112" s="71"/>
      <c r="N112" s="71"/>
      <c r="O112" s="73"/>
      <c r="P112" s="2"/>
      <c r="Q112" s="2"/>
      <c r="R112" s="2" t="s">
        <v>180</v>
      </c>
      <c r="S112" s="7"/>
    </row>
    <row r="113" spans="2:19">
      <c r="B113" s="69">
        <v>99</v>
      </c>
      <c r="C113" s="71" t="s">
        <v>567</v>
      </c>
      <c r="D113" s="71" t="s">
        <v>163</v>
      </c>
      <c r="E113" s="116"/>
      <c r="F113" s="73">
        <v>96550265</v>
      </c>
      <c r="G113" s="71" t="s">
        <v>72</v>
      </c>
      <c r="H113" s="71" t="s">
        <v>231</v>
      </c>
      <c r="I113" s="71" t="s">
        <v>171</v>
      </c>
      <c r="J113" s="71" t="s">
        <v>568</v>
      </c>
      <c r="K113" s="71"/>
      <c r="L113" s="71" t="s">
        <v>223</v>
      </c>
      <c r="M113" s="71"/>
      <c r="N113" s="71"/>
      <c r="O113" s="73" t="s">
        <v>234</v>
      </c>
      <c r="P113" s="2" t="s">
        <v>108</v>
      </c>
      <c r="Q113" s="2" t="s">
        <v>569</v>
      </c>
      <c r="R113" s="2" t="s">
        <v>180</v>
      </c>
      <c r="S113" s="7"/>
    </row>
    <row r="114" spans="2:19">
      <c r="B114" s="69">
        <v>100</v>
      </c>
      <c r="C114" s="71" t="s">
        <v>570</v>
      </c>
      <c r="D114" s="71" t="s">
        <v>183</v>
      </c>
      <c r="E114" s="116"/>
      <c r="F114" s="73">
        <v>92322945</v>
      </c>
      <c r="G114" s="71" t="s">
        <v>76</v>
      </c>
      <c r="H114" s="71" t="s">
        <v>231</v>
      </c>
      <c r="I114" s="71" t="s">
        <v>165</v>
      </c>
      <c r="J114" s="71" t="s">
        <v>395</v>
      </c>
      <c r="K114" s="71" t="s">
        <v>571</v>
      </c>
      <c r="L114" s="71" t="s">
        <v>228</v>
      </c>
      <c r="M114" s="71" t="s">
        <v>203</v>
      </c>
      <c r="N114" s="71" t="s">
        <v>208</v>
      </c>
      <c r="O114" s="73" t="s">
        <v>234</v>
      </c>
      <c r="P114" s="2" t="s">
        <v>108</v>
      </c>
      <c r="Q114" s="2" t="s">
        <v>572</v>
      </c>
      <c r="R114" s="2" t="s">
        <v>180</v>
      </c>
      <c r="S114" s="7"/>
    </row>
    <row r="115" spans="2:19">
      <c r="B115" s="69">
        <v>101</v>
      </c>
      <c r="C115" s="71" t="s">
        <v>573</v>
      </c>
      <c r="D115" s="71" t="s">
        <v>163</v>
      </c>
      <c r="E115" s="116"/>
      <c r="F115" s="73">
        <v>98514319</v>
      </c>
      <c r="G115" s="71" t="s">
        <v>76</v>
      </c>
      <c r="H115" s="71" t="s">
        <v>231</v>
      </c>
      <c r="I115" s="71" t="s">
        <v>211</v>
      </c>
      <c r="J115" s="71" t="s">
        <v>574</v>
      </c>
      <c r="K115" s="71" t="s">
        <v>575</v>
      </c>
      <c r="L115" s="71" t="s">
        <v>223</v>
      </c>
      <c r="M115" s="71"/>
      <c r="N115" s="71"/>
      <c r="O115" s="73" t="s">
        <v>234</v>
      </c>
      <c r="P115" s="2" t="s">
        <v>108</v>
      </c>
      <c r="Q115" s="2" t="s">
        <v>576</v>
      </c>
      <c r="R115" s="2" t="s">
        <v>180</v>
      </c>
      <c r="S115" s="7"/>
    </row>
    <row r="116" spans="2:19">
      <c r="B116" s="69">
        <v>102</v>
      </c>
      <c r="C116" s="71" t="s">
        <v>577</v>
      </c>
      <c r="D116" s="71" t="s">
        <v>183</v>
      </c>
      <c r="E116" s="116"/>
      <c r="F116" s="73">
        <v>87979871</v>
      </c>
      <c r="G116" s="71"/>
      <c r="H116" s="71"/>
      <c r="I116" s="71" t="s">
        <v>171</v>
      </c>
      <c r="J116" s="71" t="s">
        <v>578</v>
      </c>
      <c r="K116" s="71"/>
      <c r="L116" s="71"/>
      <c r="M116" s="71"/>
      <c r="N116" s="71"/>
      <c r="O116" s="73"/>
      <c r="P116" s="2"/>
      <c r="Q116" s="2"/>
      <c r="R116" s="2" t="s">
        <v>180</v>
      </c>
      <c r="S116" s="7"/>
    </row>
    <row r="117" spans="2:19">
      <c r="B117" s="69">
        <v>103</v>
      </c>
      <c r="C117" s="71" t="s">
        <v>579</v>
      </c>
      <c r="D117" s="71" t="s">
        <v>163</v>
      </c>
      <c r="E117" s="116"/>
      <c r="F117" s="73">
        <v>96430345</v>
      </c>
      <c r="G117" s="71"/>
      <c r="H117" s="71"/>
      <c r="I117" s="71" t="s">
        <v>165</v>
      </c>
      <c r="J117" s="71" t="s">
        <v>580</v>
      </c>
      <c r="K117" s="71" t="s">
        <v>581</v>
      </c>
      <c r="L117" s="71"/>
      <c r="M117" s="71"/>
      <c r="N117" s="71"/>
      <c r="O117" s="73"/>
      <c r="P117" s="2"/>
      <c r="Q117" s="2"/>
      <c r="R117" s="2" t="s">
        <v>180</v>
      </c>
      <c r="S117" s="7"/>
    </row>
    <row r="118" spans="2:19">
      <c r="B118" s="69">
        <v>104</v>
      </c>
      <c r="C118" s="71" t="s">
        <v>582</v>
      </c>
      <c r="D118" s="71" t="s">
        <v>163</v>
      </c>
      <c r="E118" s="116"/>
      <c r="F118" s="73">
        <v>97573948</v>
      </c>
      <c r="G118" s="71" t="s">
        <v>76</v>
      </c>
      <c r="H118" s="71"/>
      <c r="I118" s="71" t="s">
        <v>211</v>
      </c>
      <c r="J118" s="71" t="s">
        <v>520</v>
      </c>
      <c r="K118" s="71" t="s">
        <v>583</v>
      </c>
      <c r="L118" s="71"/>
      <c r="M118" s="71"/>
      <c r="N118" s="71"/>
      <c r="O118" s="73"/>
      <c r="P118" s="123" t="s">
        <v>79</v>
      </c>
      <c r="Q118" s="2" t="s">
        <v>584</v>
      </c>
      <c r="R118" s="2" t="s">
        <v>180</v>
      </c>
      <c r="S118" s="7"/>
    </row>
    <row r="119" spans="2:19">
      <c r="B119" s="69">
        <v>105</v>
      </c>
      <c r="C119" s="71" t="s">
        <v>585</v>
      </c>
      <c r="D119" s="71" t="s">
        <v>163</v>
      </c>
      <c r="E119" s="116"/>
      <c r="F119" s="73">
        <v>84157640</v>
      </c>
      <c r="G119" s="71" t="s">
        <v>72</v>
      </c>
      <c r="H119" s="71" t="s">
        <v>199</v>
      </c>
      <c r="I119" s="71" t="s">
        <v>171</v>
      </c>
      <c r="J119" s="71" t="s">
        <v>586</v>
      </c>
      <c r="K119" s="71" t="s">
        <v>587</v>
      </c>
      <c r="L119" s="71" t="s">
        <v>228</v>
      </c>
      <c r="M119" s="71" t="s">
        <v>203</v>
      </c>
      <c r="N119" s="71"/>
      <c r="O119" s="73" t="s">
        <v>588</v>
      </c>
      <c r="P119" s="2" t="s">
        <v>71</v>
      </c>
      <c r="Q119" s="2" t="s">
        <v>589</v>
      </c>
      <c r="R119" s="2"/>
      <c r="S119" s="7"/>
    </row>
    <row r="120" spans="2:19">
      <c r="B120" s="69">
        <v>106</v>
      </c>
      <c r="C120" s="71" t="s">
        <v>590</v>
      </c>
      <c r="D120" s="71" t="s">
        <v>163</v>
      </c>
      <c r="E120" s="110" t="s">
        <v>591</v>
      </c>
      <c r="F120" s="73">
        <v>83383976</v>
      </c>
      <c r="G120" s="71" t="s">
        <v>76</v>
      </c>
      <c r="H120" s="71" t="s">
        <v>231</v>
      </c>
      <c r="I120" s="71" t="s">
        <v>371</v>
      </c>
      <c r="J120" s="71" t="s">
        <v>592</v>
      </c>
      <c r="K120" s="71"/>
      <c r="L120" s="71" t="s">
        <v>241</v>
      </c>
      <c r="M120" s="71" t="s">
        <v>187</v>
      </c>
      <c r="N120" s="71" t="s">
        <v>223</v>
      </c>
      <c r="O120" s="73" t="s">
        <v>593</v>
      </c>
      <c r="P120" s="123" t="s">
        <v>75</v>
      </c>
      <c r="Q120" s="2" t="s">
        <v>235</v>
      </c>
      <c r="R120" s="2" t="s">
        <v>180</v>
      </c>
      <c r="S120" s="7"/>
    </row>
    <row r="121" spans="2:19">
      <c r="B121" s="111">
        <v>107</v>
      </c>
      <c r="C121" s="112" t="s">
        <v>594</v>
      </c>
      <c r="D121" s="112" t="s">
        <v>163</v>
      </c>
      <c r="E121" s="113" t="s">
        <v>595</v>
      </c>
      <c r="F121" s="114">
        <v>90210900</v>
      </c>
      <c r="G121" s="112" t="s">
        <v>80</v>
      </c>
      <c r="H121" s="112"/>
      <c r="I121" s="112" t="s">
        <v>211</v>
      </c>
      <c r="J121" s="112" t="s">
        <v>596</v>
      </c>
      <c r="K121" s="112" t="s">
        <v>597</v>
      </c>
      <c r="L121" s="112"/>
      <c r="M121" s="112"/>
      <c r="N121" s="112"/>
      <c r="O121" s="114"/>
      <c r="P121" s="123" t="s">
        <v>75</v>
      </c>
      <c r="Q121" s="123" t="s">
        <v>598</v>
      </c>
      <c r="R121" s="123" t="s">
        <v>180</v>
      </c>
      <c r="S121" s="126"/>
    </row>
    <row r="122" spans="2:19">
      <c r="B122" s="69">
        <v>108</v>
      </c>
      <c r="C122" s="71" t="s">
        <v>599</v>
      </c>
      <c r="D122" s="71" t="s">
        <v>163</v>
      </c>
      <c r="E122" s="110" t="s">
        <v>600</v>
      </c>
      <c r="F122" s="73">
        <v>87517265</v>
      </c>
      <c r="G122" s="71" t="s">
        <v>80</v>
      </c>
      <c r="H122" s="71" t="s">
        <v>231</v>
      </c>
      <c r="I122" s="71" t="s">
        <v>165</v>
      </c>
      <c r="J122" s="71" t="s">
        <v>317</v>
      </c>
      <c r="K122" s="71"/>
      <c r="L122" s="71" t="s">
        <v>241</v>
      </c>
      <c r="M122" s="71" t="s">
        <v>252</v>
      </c>
      <c r="N122" s="71"/>
      <c r="O122" s="73" t="s">
        <v>234</v>
      </c>
      <c r="P122" s="2" t="s">
        <v>75</v>
      </c>
      <c r="Q122" s="2" t="s">
        <v>235</v>
      </c>
      <c r="R122" s="2" t="s">
        <v>180</v>
      </c>
      <c r="S122" s="7"/>
    </row>
    <row r="123" spans="2:19">
      <c r="B123" s="69">
        <v>109</v>
      </c>
      <c r="C123" s="71" t="s">
        <v>601</v>
      </c>
      <c r="D123" s="71" t="s">
        <v>163</v>
      </c>
      <c r="E123" s="110" t="s">
        <v>602</v>
      </c>
      <c r="F123" s="73">
        <v>91693415</v>
      </c>
      <c r="G123" s="71" t="s">
        <v>80</v>
      </c>
      <c r="H123" s="71"/>
      <c r="I123" s="71" t="s">
        <v>165</v>
      </c>
      <c r="J123" s="71" t="s">
        <v>317</v>
      </c>
      <c r="K123" s="71" t="s">
        <v>603</v>
      </c>
      <c r="L123" s="71"/>
      <c r="M123" s="71"/>
      <c r="N123" s="71"/>
      <c r="O123" s="73"/>
      <c r="P123" s="2" t="s">
        <v>75</v>
      </c>
      <c r="Q123" s="2" t="s">
        <v>179</v>
      </c>
      <c r="R123" s="2" t="s">
        <v>180</v>
      </c>
      <c r="S123" s="7"/>
    </row>
    <row r="124" spans="2:19">
      <c r="B124" s="69">
        <v>110</v>
      </c>
      <c r="C124" s="71" t="s">
        <v>604</v>
      </c>
      <c r="D124" s="71" t="s">
        <v>163</v>
      </c>
      <c r="E124" s="110" t="s">
        <v>605</v>
      </c>
      <c r="F124" s="73">
        <v>90613508</v>
      </c>
      <c r="G124" s="71"/>
      <c r="H124" s="71"/>
      <c r="I124" s="71" t="s">
        <v>171</v>
      </c>
      <c r="J124" s="71" t="s">
        <v>606</v>
      </c>
      <c r="K124" s="71" t="s">
        <v>607</v>
      </c>
      <c r="L124" s="71"/>
      <c r="M124" s="71"/>
      <c r="N124" s="71"/>
      <c r="O124" s="73"/>
      <c r="P124" s="2"/>
      <c r="Q124" s="2"/>
      <c r="R124" s="2" t="s">
        <v>180</v>
      </c>
      <c r="S124" s="7"/>
    </row>
    <row r="125" spans="2:19">
      <c r="B125" s="69">
        <v>111</v>
      </c>
      <c r="C125" s="71" t="s">
        <v>608</v>
      </c>
      <c r="D125" s="71" t="s">
        <v>183</v>
      </c>
      <c r="E125" s="110" t="s">
        <v>609</v>
      </c>
      <c r="F125" s="73">
        <v>97907830</v>
      </c>
      <c r="G125" s="71"/>
      <c r="H125" s="71"/>
      <c r="I125" s="71" t="s">
        <v>316</v>
      </c>
      <c r="J125" s="71" t="s">
        <v>610</v>
      </c>
      <c r="K125" s="71" t="s">
        <v>611</v>
      </c>
      <c r="L125" s="71"/>
      <c r="M125" s="71"/>
      <c r="N125" s="71"/>
      <c r="O125" s="73"/>
      <c r="P125" s="2"/>
      <c r="Q125" s="2"/>
      <c r="R125" s="2" t="s">
        <v>180</v>
      </c>
      <c r="S125" s="7"/>
    </row>
    <row r="126" spans="2:19">
      <c r="B126" s="69">
        <v>112</v>
      </c>
      <c r="C126" s="71" t="s">
        <v>612</v>
      </c>
      <c r="D126" s="71" t="s">
        <v>163</v>
      </c>
      <c r="E126" s="110" t="s">
        <v>613</v>
      </c>
      <c r="F126" s="73">
        <v>91131710</v>
      </c>
      <c r="G126" s="71"/>
      <c r="H126" s="71"/>
      <c r="I126" s="71" t="s">
        <v>165</v>
      </c>
      <c r="J126" s="71" t="s">
        <v>614</v>
      </c>
      <c r="K126" s="71" t="s">
        <v>615</v>
      </c>
      <c r="L126" s="71"/>
      <c r="M126" s="71"/>
      <c r="N126" s="71"/>
      <c r="O126" s="73"/>
      <c r="P126" s="2"/>
      <c r="Q126" s="2"/>
      <c r="R126" s="2" t="s">
        <v>180</v>
      </c>
      <c r="S126" s="7"/>
    </row>
    <row r="127" spans="2:19">
      <c r="B127" s="69">
        <v>113</v>
      </c>
      <c r="C127" s="71" t="s">
        <v>616</v>
      </c>
      <c r="D127" s="71" t="s">
        <v>163</v>
      </c>
      <c r="E127" s="110" t="s">
        <v>617</v>
      </c>
      <c r="F127" s="73">
        <v>84991693</v>
      </c>
      <c r="G127" s="71" t="s">
        <v>76</v>
      </c>
      <c r="H127" s="71" t="s">
        <v>231</v>
      </c>
      <c r="I127" s="71" t="s">
        <v>171</v>
      </c>
      <c r="J127" s="71" t="s">
        <v>312</v>
      </c>
      <c r="K127" s="71" t="s">
        <v>618</v>
      </c>
      <c r="L127" s="71" t="s">
        <v>241</v>
      </c>
      <c r="M127" s="71" t="s">
        <v>252</v>
      </c>
      <c r="N127" s="71"/>
      <c r="O127" s="73" t="s">
        <v>548</v>
      </c>
      <c r="P127" s="2" t="s">
        <v>108</v>
      </c>
      <c r="Q127" s="2" t="s">
        <v>619</v>
      </c>
      <c r="R127" s="2" t="s">
        <v>180</v>
      </c>
      <c r="S127" s="7"/>
    </row>
    <row r="128" spans="2:19">
      <c r="B128" s="69">
        <v>114</v>
      </c>
      <c r="C128" s="71" t="s">
        <v>620</v>
      </c>
      <c r="D128" s="71" t="s">
        <v>163</v>
      </c>
      <c r="E128" s="110" t="s">
        <v>621</v>
      </c>
      <c r="F128" s="73">
        <v>81180701</v>
      </c>
      <c r="G128" s="71"/>
      <c r="H128" s="71"/>
      <c r="I128" s="71" t="s">
        <v>171</v>
      </c>
      <c r="J128" s="71" t="s">
        <v>244</v>
      </c>
      <c r="K128" s="71" t="s">
        <v>622</v>
      </c>
      <c r="L128" s="71"/>
      <c r="M128" s="71"/>
      <c r="N128" s="71"/>
      <c r="O128" s="73"/>
      <c r="P128" s="2"/>
      <c r="Q128" s="2"/>
      <c r="R128" s="2" t="s">
        <v>180</v>
      </c>
      <c r="S128" s="7"/>
    </row>
    <row r="129" spans="2:19">
      <c r="B129" s="69">
        <v>115</v>
      </c>
      <c r="C129" s="71" t="s">
        <v>623</v>
      </c>
      <c r="D129" s="71" t="s">
        <v>163</v>
      </c>
      <c r="E129" s="110" t="s">
        <v>624</v>
      </c>
      <c r="F129" s="73">
        <v>98502848</v>
      </c>
      <c r="G129" s="71"/>
      <c r="H129" s="71"/>
      <c r="I129" s="71" t="s">
        <v>165</v>
      </c>
      <c r="J129" s="71" t="s">
        <v>625</v>
      </c>
      <c r="K129" s="71" t="s">
        <v>626</v>
      </c>
      <c r="L129" s="71"/>
      <c r="M129" s="71"/>
      <c r="N129" s="71"/>
      <c r="O129" s="73"/>
      <c r="P129" s="2"/>
      <c r="Q129" s="2"/>
      <c r="R129" s="2" t="s">
        <v>180</v>
      </c>
      <c r="S129" s="7"/>
    </row>
    <row r="130" spans="2:19">
      <c r="B130" s="69">
        <v>116</v>
      </c>
      <c r="C130" s="71" t="s">
        <v>627</v>
      </c>
      <c r="D130" s="71" t="s">
        <v>163</v>
      </c>
      <c r="E130" s="110" t="s">
        <v>628</v>
      </c>
      <c r="F130" s="73">
        <v>92963649</v>
      </c>
      <c r="G130" s="71"/>
      <c r="H130" s="71"/>
      <c r="I130" s="71" t="s">
        <v>165</v>
      </c>
      <c r="J130" s="71" t="s">
        <v>629</v>
      </c>
      <c r="K130" s="71" t="s">
        <v>630</v>
      </c>
      <c r="L130" s="71"/>
      <c r="M130" s="71"/>
      <c r="N130" s="71"/>
      <c r="O130" s="73"/>
      <c r="P130" s="2"/>
      <c r="Q130" s="2"/>
      <c r="R130" s="2" t="s">
        <v>180</v>
      </c>
      <c r="S130" s="7"/>
    </row>
    <row r="131" spans="2:19">
      <c r="B131" s="69">
        <v>117</v>
      </c>
      <c r="C131" s="71" t="s">
        <v>631</v>
      </c>
      <c r="D131" s="71" t="s">
        <v>163</v>
      </c>
      <c r="E131" s="110" t="s">
        <v>632</v>
      </c>
      <c r="F131" s="73">
        <v>91094967</v>
      </c>
      <c r="G131" s="71"/>
      <c r="H131" s="71"/>
      <c r="I131" s="71" t="s">
        <v>171</v>
      </c>
      <c r="J131" s="71" t="s">
        <v>633</v>
      </c>
      <c r="K131" s="71" t="s">
        <v>634</v>
      </c>
      <c r="L131" s="71"/>
      <c r="M131" s="71"/>
      <c r="N131" s="71"/>
      <c r="O131" s="73"/>
      <c r="P131" s="2"/>
      <c r="Q131" s="2"/>
      <c r="R131" s="2" t="s">
        <v>180</v>
      </c>
      <c r="S131" s="7"/>
    </row>
    <row r="132" spans="2:19">
      <c r="B132" s="69">
        <v>118</v>
      </c>
      <c r="C132" s="71" t="s">
        <v>635</v>
      </c>
      <c r="D132" s="71" t="s">
        <v>183</v>
      </c>
      <c r="E132" s="110" t="s">
        <v>636</v>
      </c>
      <c r="F132" s="73">
        <v>98576697</v>
      </c>
      <c r="G132" s="71" t="s">
        <v>76</v>
      </c>
      <c r="H132" s="71" t="s">
        <v>231</v>
      </c>
      <c r="I132" s="71" t="s">
        <v>165</v>
      </c>
      <c r="J132" s="71" t="s">
        <v>637</v>
      </c>
      <c r="K132" s="71" t="s">
        <v>638</v>
      </c>
      <c r="L132" s="71" t="s">
        <v>241</v>
      </c>
      <c r="M132" s="71"/>
      <c r="N132" s="71"/>
      <c r="O132" s="73" t="s">
        <v>639</v>
      </c>
      <c r="P132" s="123" t="s">
        <v>75</v>
      </c>
      <c r="Q132" s="2" t="s">
        <v>235</v>
      </c>
      <c r="R132" s="2" t="s">
        <v>180</v>
      </c>
      <c r="S132" s="7"/>
    </row>
    <row r="133" spans="2:19">
      <c r="B133" s="69">
        <v>119</v>
      </c>
      <c r="C133" s="71" t="s">
        <v>640</v>
      </c>
      <c r="D133" s="71" t="s">
        <v>163</v>
      </c>
      <c r="E133" s="110" t="s">
        <v>641</v>
      </c>
      <c r="F133" s="73">
        <v>98383449</v>
      </c>
      <c r="G133" s="71" t="s">
        <v>76</v>
      </c>
      <c r="H133" s="71" t="s">
        <v>231</v>
      </c>
      <c r="I133" s="71" t="s">
        <v>171</v>
      </c>
      <c r="J133" s="71" t="s">
        <v>226</v>
      </c>
      <c r="K133" s="71" t="s">
        <v>642</v>
      </c>
      <c r="L133" s="71" t="s">
        <v>241</v>
      </c>
      <c r="M133" s="71" t="s">
        <v>252</v>
      </c>
      <c r="N133" s="71"/>
      <c r="O133" s="73" t="s">
        <v>548</v>
      </c>
      <c r="P133" s="123" t="s">
        <v>75</v>
      </c>
      <c r="Q133" s="2" t="s">
        <v>235</v>
      </c>
      <c r="R133" s="2" t="s">
        <v>180</v>
      </c>
      <c r="S133" s="7"/>
    </row>
    <row r="134" spans="2:19">
      <c r="B134" s="69">
        <v>120</v>
      </c>
      <c r="C134" s="71" t="s">
        <v>643</v>
      </c>
      <c r="D134" s="71" t="s">
        <v>163</v>
      </c>
      <c r="E134" s="110" t="s">
        <v>644</v>
      </c>
      <c r="F134" s="73">
        <v>98503981</v>
      </c>
      <c r="G134" s="71" t="s">
        <v>80</v>
      </c>
      <c r="H134" s="71"/>
      <c r="I134" s="71" t="s">
        <v>165</v>
      </c>
      <c r="J134" s="71" t="s">
        <v>645</v>
      </c>
      <c r="K134" s="71" t="s">
        <v>646</v>
      </c>
      <c r="L134" s="71"/>
      <c r="M134" s="71"/>
      <c r="N134" s="71"/>
      <c r="O134" s="73"/>
      <c r="P134" s="2" t="s">
        <v>75</v>
      </c>
      <c r="Q134" s="2" t="s">
        <v>235</v>
      </c>
      <c r="R134" s="2" t="s">
        <v>180</v>
      </c>
      <c r="S134" s="7"/>
    </row>
    <row r="135" spans="2:19">
      <c r="B135" s="69">
        <v>121</v>
      </c>
      <c r="C135" s="71" t="s">
        <v>647</v>
      </c>
      <c r="D135" s="71" t="s">
        <v>163</v>
      </c>
      <c r="E135" s="110" t="s">
        <v>648</v>
      </c>
      <c r="F135" s="73">
        <v>81861408</v>
      </c>
      <c r="G135" s="71"/>
      <c r="H135" s="71"/>
      <c r="I135" s="71" t="s">
        <v>171</v>
      </c>
      <c r="J135" s="71" t="s">
        <v>649</v>
      </c>
      <c r="K135" s="71"/>
      <c r="L135" s="71"/>
      <c r="M135" s="71"/>
      <c r="N135" s="71"/>
      <c r="O135" s="73"/>
      <c r="P135" s="2"/>
      <c r="Q135" s="2"/>
      <c r="R135" s="2" t="s">
        <v>180</v>
      </c>
      <c r="S135" s="7"/>
    </row>
    <row r="136" spans="2:19">
      <c r="B136" s="69">
        <v>122</v>
      </c>
      <c r="C136" s="71" t="s">
        <v>650</v>
      </c>
      <c r="D136" s="71" t="s">
        <v>163</v>
      </c>
      <c r="E136" s="110" t="s">
        <v>651</v>
      </c>
      <c r="F136" s="73">
        <v>81570375</v>
      </c>
      <c r="G136" s="71"/>
      <c r="H136" s="71"/>
      <c r="I136" s="71" t="s">
        <v>165</v>
      </c>
      <c r="J136" s="71" t="s">
        <v>652</v>
      </c>
      <c r="K136" s="71" t="s">
        <v>653</v>
      </c>
      <c r="L136" s="71"/>
      <c r="M136" s="71"/>
      <c r="N136" s="71"/>
      <c r="O136" s="73"/>
      <c r="P136" s="2"/>
      <c r="Q136" s="2"/>
      <c r="R136" s="2" t="s">
        <v>180</v>
      </c>
      <c r="S136" s="7"/>
    </row>
    <row r="137" spans="2:19">
      <c r="B137" s="69">
        <v>123</v>
      </c>
      <c r="C137" s="71" t="s">
        <v>654</v>
      </c>
      <c r="D137" s="71" t="s">
        <v>163</v>
      </c>
      <c r="E137" s="110" t="s">
        <v>655</v>
      </c>
      <c r="F137" s="73">
        <v>98577573</v>
      </c>
      <c r="G137" s="71"/>
      <c r="H137" s="71"/>
      <c r="I137" s="71" t="s">
        <v>165</v>
      </c>
      <c r="J137" s="71" t="s">
        <v>656</v>
      </c>
      <c r="K137" s="71" t="s">
        <v>657</v>
      </c>
      <c r="L137" s="71"/>
      <c r="M137" s="71"/>
      <c r="N137" s="71"/>
      <c r="O137" s="73"/>
      <c r="P137" s="2"/>
      <c r="Q137" s="2"/>
      <c r="R137" s="2" t="s">
        <v>180</v>
      </c>
      <c r="S137" s="7"/>
    </row>
    <row r="138" spans="2:19">
      <c r="B138" s="69">
        <v>124</v>
      </c>
      <c r="C138" s="71" t="s">
        <v>658</v>
      </c>
      <c r="D138" s="71" t="s">
        <v>183</v>
      </c>
      <c r="E138" s="110" t="s">
        <v>659</v>
      </c>
      <c r="F138" s="73">
        <v>84156151</v>
      </c>
      <c r="G138" s="71"/>
      <c r="H138" s="71"/>
      <c r="I138" s="71" t="s">
        <v>165</v>
      </c>
      <c r="J138" s="71" t="s">
        <v>172</v>
      </c>
      <c r="K138" s="71" t="s">
        <v>660</v>
      </c>
      <c r="L138" s="71"/>
      <c r="M138" s="71"/>
      <c r="N138" s="71"/>
      <c r="O138" s="73"/>
      <c r="P138" s="2"/>
      <c r="Q138" s="2"/>
      <c r="R138" s="2" t="s">
        <v>180</v>
      </c>
      <c r="S138" s="7"/>
    </row>
    <row r="139" spans="2:19">
      <c r="B139" s="69">
        <v>125</v>
      </c>
      <c r="C139" s="71" t="s">
        <v>661</v>
      </c>
      <c r="D139" s="71" t="s">
        <v>163</v>
      </c>
      <c r="E139" s="110" t="s">
        <v>662</v>
      </c>
      <c r="F139" s="73">
        <v>98802984</v>
      </c>
      <c r="G139" s="71"/>
      <c r="H139" s="71"/>
      <c r="I139" s="71" t="s">
        <v>165</v>
      </c>
      <c r="J139" s="71" t="s">
        <v>663</v>
      </c>
      <c r="K139" s="71" t="s">
        <v>664</v>
      </c>
      <c r="L139" s="71"/>
      <c r="M139" s="71"/>
      <c r="N139" s="71"/>
      <c r="O139" s="73"/>
      <c r="P139" s="2"/>
      <c r="Q139" s="2"/>
      <c r="R139" s="2" t="s">
        <v>180</v>
      </c>
      <c r="S139" s="7"/>
    </row>
    <row r="140" spans="2:19">
      <c r="B140" s="69">
        <v>126</v>
      </c>
      <c r="C140" s="71" t="s">
        <v>665</v>
      </c>
      <c r="D140" s="71" t="s">
        <v>163</v>
      </c>
      <c r="E140" s="110" t="s">
        <v>666</v>
      </c>
      <c r="F140" s="73">
        <v>81396093</v>
      </c>
      <c r="G140" s="71"/>
      <c r="H140" s="71"/>
      <c r="I140" s="71" t="s">
        <v>171</v>
      </c>
      <c r="J140" s="71" t="s">
        <v>290</v>
      </c>
      <c r="K140" s="71" t="s">
        <v>667</v>
      </c>
      <c r="L140" s="71"/>
      <c r="M140" s="71"/>
      <c r="N140" s="71"/>
      <c r="O140" s="73"/>
      <c r="P140" s="2"/>
      <c r="Q140" s="2"/>
      <c r="R140" s="2" t="s">
        <v>180</v>
      </c>
      <c r="S140" s="7"/>
    </row>
    <row r="141" spans="2:19">
      <c r="B141" s="69">
        <v>127</v>
      </c>
      <c r="C141" s="71" t="s">
        <v>668</v>
      </c>
      <c r="D141" s="71" t="s">
        <v>163</v>
      </c>
      <c r="E141" s="110" t="s">
        <v>669</v>
      </c>
      <c r="F141" s="73">
        <v>94511140</v>
      </c>
      <c r="G141" s="71"/>
      <c r="H141" s="71"/>
      <c r="I141" s="71" t="s">
        <v>171</v>
      </c>
      <c r="J141" s="71" t="s">
        <v>226</v>
      </c>
      <c r="K141" s="71" t="s">
        <v>670</v>
      </c>
      <c r="L141" s="71"/>
      <c r="M141" s="71"/>
      <c r="N141" s="71"/>
      <c r="O141" s="73"/>
      <c r="P141" s="2"/>
      <c r="Q141" s="2"/>
      <c r="R141" s="2" t="s">
        <v>180</v>
      </c>
      <c r="S141" s="7"/>
    </row>
    <row r="142" spans="2:19">
      <c r="B142" s="69">
        <v>128</v>
      </c>
      <c r="C142" s="71" t="s">
        <v>671</v>
      </c>
      <c r="D142" s="71" t="s">
        <v>163</v>
      </c>
      <c r="E142" s="110" t="s">
        <v>672</v>
      </c>
      <c r="F142" s="73">
        <v>97990909</v>
      </c>
      <c r="G142" s="71" t="s">
        <v>80</v>
      </c>
      <c r="H142" s="71"/>
      <c r="I142" s="71" t="s">
        <v>171</v>
      </c>
      <c r="J142" s="71" t="s">
        <v>673</v>
      </c>
      <c r="K142" s="71" t="s">
        <v>674</v>
      </c>
      <c r="L142" s="71"/>
      <c r="M142" s="71"/>
      <c r="N142" s="71"/>
      <c r="O142" s="73"/>
      <c r="P142" s="2" t="s">
        <v>75</v>
      </c>
      <c r="Q142" s="2" t="s">
        <v>179</v>
      </c>
      <c r="R142" s="2" t="s">
        <v>180</v>
      </c>
      <c r="S142" s="7"/>
    </row>
    <row r="143" spans="2:19">
      <c r="B143" s="69">
        <v>129</v>
      </c>
      <c r="C143" s="71" t="s">
        <v>675</v>
      </c>
      <c r="D143" s="71" t="s">
        <v>163</v>
      </c>
      <c r="E143" s="110" t="s">
        <v>676</v>
      </c>
      <c r="F143" s="73">
        <v>93825629</v>
      </c>
      <c r="G143" s="71"/>
      <c r="H143" s="71"/>
      <c r="I143" s="71" t="s">
        <v>171</v>
      </c>
      <c r="J143" s="71" t="s">
        <v>677</v>
      </c>
      <c r="K143" s="71" t="s">
        <v>678</v>
      </c>
      <c r="L143" s="71"/>
      <c r="M143" s="71"/>
      <c r="N143" s="71"/>
      <c r="O143" s="73"/>
      <c r="P143" s="2"/>
      <c r="Q143" s="2"/>
      <c r="R143" s="2" t="s">
        <v>180</v>
      </c>
      <c r="S143" s="7"/>
    </row>
    <row r="144" spans="2:19">
      <c r="B144" s="69">
        <v>130</v>
      </c>
      <c r="C144" s="71" t="s">
        <v>679</v>
      </c>
      <c r="D144" s="71" t="s">
        <v>163</v>
      </c>
      <c r="E144" s="110" t="s">
        <v>680</v>
      </c>
      <c r="F144" s="73">
        <v>81830672</v>
      </c>
      <c r="G144" s="71"/>
      <c r="H144" s="71"/>
      <c r="I144" s="71" t="s">
        <v>316</v>
      </c>
      <c r="J144" s="71" t="s">
        <v>681</v>
      </c>
      <c r="K144" s="71" t="s">
        <v>682</v>
      </c>
      <c r="L144" s="71"/>
      <c r="M144" s="71"/>
      <c r="N144" s="71"/>
      <c r="O144" s="73"/>
      <c r="P144" s="2"/>
      <c r="Q144" s="2"/>
      <c r="R144" s="2" t="s">
        <v>180</v>
      </c>
      <c r="S144" s="7"/>
    </row>
    <row r="145" spans="2:19">
      <c r="B145" s="69">
        <v>131</v>
      </c>
      <c r="C145" s="71" t="s">
        <v>683</v>
      </c>
      <c r="D145" s="71" t="s">
        <v>163</v>
      </c>
      <c r="E145" s="110" t="s">
        <v>684</v>
      </c>
      <c r="F145" s="73">
        <v>96754722</v>
      </c>
      <c r="G145" s="71" t="s">
        <v>76</v>
      </c>
      <c r="H145" s="71" t="s">
        <v>231</v>
      </c>
      <c r="I145" s="71" t="s">
        <v>165</v>
      </c>
      <c r="J145" s="71" t="s">
        <v>685</v>
      </c>
      <c r="K145" s="71" t="s">
        <v>686</v>
      </c>
      <c r="L145" s="71" t="s">
        <v>241</v>
      </c>
      <c r="M145" s="71"/>
      <c r="N145" s="71"/>
      <c r="O145" s="73" t="s">
        <v>548</v>
      </c>
      <c r="P145" s="123" t="s">
        <v>75</v>
      </c>
      <c r="Q145" s="2" t="s">
        <v>235</v>
      </c>
      <c r="R145" s="2" t="s">
        <v>180</v>
      </c>
      <c r="S145" s="7"/>
    </row>
    <row r="146" spans="2:19">
      <c r="B146" s="69">
        <v>132</v>
      </c>
      <c r="C146" s="71" t="s">
        <v>687</v>
      </c>
      <c r="D146" s="71" t="s">
        <v>163</v>
      </c>
      <c r="E146" s="110" t="s">
        <v>688</v>
      </c>
      <c r="F146" s="73">
        <v>98478912</v>
      </c>
      <c r="G146" s="71"/>
      <c r="H146" s="71"/>
      <c r="I146" s="71" t="s">
        <v>171</v>
      </c>
      <c r="J146" s="71" t="s">
        <v>689</v>
      </c>
      <c r="K146" s="71" t="s">
        <v>690</v>
      </c>
      <c r="L146" s="71"/>
      <c r="M146" s="71"/>
      <c r="N146" s="71"/>
      <c r="O146" s="73"/>
      <c r="P146" s="2"/>
      <c r="Q146" s="2"/>
      <c r="R146" s="2" t="s">
        <v>180</v>
      </c>
      <c r="S146" s="7"/>
    </row>
    <row r="147" spans="2:19">
      <c r="B147" s="69">
        <v>133</v>
      </c>
      <c r="C147" s="71" t="s">
        <v>691</v>
      </c>
      <c r="D147" s="71" t="s">
        <v>163</v>
      </c>
      <c r="E147" s="110" t="s">
        <v>692</v>
      </c>
      <c r="F147" s="73">
        <v>84193032</v>
      </c>
      <c r="G147" s="71" t="s">
        <v>80</v>
      </c>
      <c r="H147" s="71"/>
      <c r="I147" s="71" t="s">
        <v>165</v>
      </c>
      <c r="J147" s="71" t="s">
        <v>693</v>
      </c>
      <c r="K147" s="71" t="s">
        <v>694</v>
      </c>
      <c r="L147" s="71" t="s">
        <v>252</v>
      </c>
      <c r="M147" s="71"/>
      <c r="N147" s="71"/>
      <c r="O147" s="73"/>
      <c r="P147" s="2" t="s">
        <v>104</v>
      </c>
      <c r="Q147" s="2" t="s">
        <v>695</v>
      </c>
      <c r="R147" s="2" t="s">
        <v>180</v>
      </c>
      <c r="S147" s="7"/>
    </row>
    <row r="148" spans="2:19">
      <c r="B148" s="69">
        <v>134</v>
      </c>
      <c r="C148" s="71" t="s">
        <v>696</v>
      </c>
      <c r="D148" s="71" t="s">
        <v>163</v>
      </c>
      <c r="E148" s="110" t="s">
        <v>697</v>
      </c>
      <c r="F148" s="73">
        <v>91056745</v>
      </c>
      <c r="G148" s="71"/>
      <c r="H148" s="71"/>
      <c r="I148" s="71" t="s">
        <v>171</v>
      </c>
      <c r="J148" s="71" t="s">
        <v>698</v>
      </c>
      <c r="K148" s="71" t="s">
        <v>699</v>
      </c>
      <c r="L148" s="71"/>
      <c r="M148" s="71"/>
      <c r="N148" s="71"/>
      <c r="O148" s="73"/>
      <c r="P148" s="2"/>
      <c r="Q148" s="2"/>
      <c r="R148" s="2" t="s">
        <v>180</v>
      </c>
      <c r="S148" s="7"/>
    </row>
    <row r="149" spans="2:19">
      <c r="B149" s="69">
        <v>135</v>
      </c>
      <c r="C149" s="71" t="s">
        <v>700</v>
      </c>
      <c r="D149" s="71" t="s">
        <v>163</v>
      </c>
      <c r="E149" s="110" t="s">
        <v>701</v>
      </c>
      <c r="F149" s="73">
        <v>97200106</v>
      </c>
      <c r="G149" s="71"/>
      <c r="H149" s="71"/>
      <c r="I149" s="71" t="s">
        <v>171</v>
      </c>
      <c r="J149" s="71" t="s">
        <v>702</v>
      </c>
      <c r="K149" s="71" t="s">
        <v>703</v>
      </c>
      <c r="L149" s="71"/>
      <c r="M149" s="71"/>
      <c r="N149" s="71"/>
      <c r="O149" s="73"/>
      <c r="P149" s="2"/>
      <c r="Q149" s="2"/>
      <c r="R149" s="2" t="s">
        <v>180</v>
      </c>
      <c r="S149" s="7"/>
    </row>
    <row r="150" spans="2:19">
      <c r="B150" s="69">
        <v>136</v>
      </c>
      <c r="C150" s="71" t="s">
        <v>704</v>
      </c>
      <c r="D150" s="71" t="s">
        <v>183</v>
      </c>
      <c r="E150" s="110" t="s">
        <v>705</v>
      </c>
      <c r="F150" s="73">
        <v>85875877</v>
      </c>
      <c r="G150" s="71" t="s">
        <v>76</v>
      </c>
      <c r="H150" s="71" t="s">
        <v>231</v>
      </c>
      <c r="I150" s="71" t="s">
        <v>165</v>
      </c>
      <c r="J150" s="71" t="s">
        <v>706</v>
      </c>
      <c r="K150" s="71" t="s">
        <v>707</v>
      </c>
      <c r="L150" s="71" t="s">
        <v>252</v>
      </c>
      <c r="M150" s="71" t="s">
        <v>35</v>
      </c>
      <c r="N150" s="71" t="s">
        <v>192</v>
      </c>
      <c r="O150" s="73" t="s">
        <v>639</v>
      </c>
      <c r="P150" s="2" t="s">
        <v>108</v>
      </c>
      <c r="Q150" s="2" t="s">
        <v>708</v>
      </c>
      <c r="R150" s="2" t="s">
        <v>180</v>
      </c>
      <c r="S150" s="7"/>
    </row>
    <row r="151" spans="2:19">
      <c r="B151" s="69">
        <v>137</v>
      </c>
      <c r="C151" s="71" t="s">
        <v>709</v>
      </c>
      <c r="D151" s="71" t="s">
        <v>163</v>
      </c>
      <c r="E151" s="110" t="s">
        <v>710</v>
      </c>
      <c r="F151" s="73">
        <v>98298789</v>
      </c>
      <c r="G151" s="71"/>
      <c r="H151" s="71"/>
      <c r="I151" s="71" t="s">
        <v>171</v>
      </c>
      <c r="J151" s="71" t="s">
        <v>711</v>
      </c>
      <c r="K151" s="71" t="s">
        <v>712</v>
      </c>
      <c r="L151" s="71"/>
      <c r="M151" s="71"/>
      <c r="N151" s="71"/>
      <c r="O151" s="73"/>
      <c r="P151" s="2"/>
      <c r="Q151" s="2"/>
      <c r="R151" s="2" t="s">
        <v>180</v>
      </c>
      <c r="S151" s="7"/>
    </row>
    <row r="152" spans="2:19">
      <c r="B152" s="111">
        <v>138</v>
      </c>
      <c r="C152" s="112" t="s">
        <v>713</v>
      </c>
      <c r="D152" s="112" t="s">
        <v>163</v>
      </c>
      <c r="E152" s="113" t="s">
        <v>714</v>
      </c>
      <c r="F152" s="114">
        <v>96936827</v>
      </c>
      <c r="G152" s="112" t="s">
        <v>80</v>
      </c>
      <c r="H152" s="112" t="s">
        <v>231</v>
      </c>
      <c r="I152" s="112" t="s">
        <v>171</v>
      </c>
      <c r="J152" s="112" t="s">
        <v>715</v>
      </c>
      <c r="K152" s="112"/>
      <c r="L152" s="112" t="s">
        <v>252</v>
      </c>
      <c r="M152" s="112" t="s">
        <v>236</v>
      </c>
      <c r="N152" s="112"/>
      <c r="O152" s="114" t="s">
        <v>548</v>
      </c>
      <c r="P152" s="123" t="s">
        <v>75</v>
      </c>
      <c r="Q152" s="123" t="s">
        <v>716</v>
      </c>
      <c r="R152" s="123" t="s">
        <v>180</v>
      </c>
      <c r="S152" s="126"/>
    </row>
    <row r="153" spans="2:19">
      <c r="B153" s="69">
        <v>139</v>
      </c>
      <c r="C153" s="71" t="s">
        <v>717</v>
      </c>
      <c r="D153" s="71" t="s">
        <v>163</v>
      </c>
      <c r="E153" s="110" t="s">
        <v>718</v>
      </c>
      <c r="F153" s="73">
        <v>90707836</v>
      </c>
      <c r="G153" s="71" t="s">
        <v>76</v>
      </c>
      <c r="H153" s="71" t="s">
        <v>231</v>
      </c>
      <c r="I153" s="71" t="s">
        <v>171</v>
      </c>
      <c r="J153" s="71" t="s">
        <v>719</v>
      </c>
      <c r="K153" s="71"/>
      <c r="L153" s="71" t="s">
        <v>252</v>
      </c>
      <c r="M153" s="71" t="s">
        <v>241</v>
      </c>
      <c r="N153" s="71"/>
      <c r="O153" s="73" t="s">
        <v>234</v>
      </c>
      <c r="P153" s="2" t="s">
        <v>108</v>
      </c>
      <c r="Q153" s="2" t="s">
        <v>720</v>
      </c>
      <c r="R153" s="2" t="s">
        <v>180</v>
      </c>
      <c r="S153" s="7"/>
    </row>
    <row r="154" spans="2:19">
      <c r="B154" s="69">
        <v>140</v>
      </c>
      <c r="C154" s="71" t="s">
        <v>721</v>
      </c>
      <c r="D154" s="71" t="s">
        <v>163</v>
      </c>
      <c r="E154" s="110" t="s">
        <v>722</v>
      </c>
      <c r="F154" s="73">
        <v>88680018</v>
      </c>
      <c r="G154" s="71" t="s">
        <v>80</v>
      </c>
      <c r="H154" s="71" t="s">
        <v>231</v>
      </c>
      <c r="I154" s="71" t="s">
        <v>171</v>
      </c>
      <c r="J154" s="71" t="s">
        <v>723</v>
      </c>
      <c r="K154" s="71" t="s">
        <v>724</v>
      </c>
      <c r="L154" s="71" t="s">
        <v>252</v>
      </c>
      <c r="M154" s="71"/>
      <c r="N154" s="71"/>
      <c r="O154" s="73" t="s">
        <v>548</v>
      </c>
      <c r="P154" s="2" t="s">
        <v>75</v>
      </c>
      <c r="Q154" s="2" t="s">
        <v>235</v>
      </c>
      <c r="R154" s="2" t="s">
        <v>180</v>
      </c>
      <c r="S154" s="7"/>
    </row>
    <row r="155" spans="2:19">
      <c r="B155" s="69">
        <v>141</v>
      </c>
      <c r="C155" s="71" t="s">
        <v>725</v>
      </c>
      <c r="D155" s="71" t="s">
        <v>163</v>
      </c>
      <c r="E155" s="110" t="s">
        <v>726</v>
      </c>
      <c r="F155" s="73">
        <v>82821821</v>
      </c>
      <c r="G155" s="71"/>
      <c r="H155" s="71"/>
      <c r="I155" s="71" t="s">
        <v>171</v>
      </c>
      <c r="J155" s="71" t="s">
        <v>727</v>
      </c>
      <c r="K155" s="71" t="s">
        <v>728</v>
      </c>
      <c r="L155" s="71"/>
      <c r="M155" s="71"/>
      <c r="N155" s="71"/>
      <c r="O155" s="73"/>
      <c r="P155" s="2"/>
      <c r="Q155" s="2"/>
      <c r="R155" s="2" t="s">
        <v>180</v>
      </c>
      <c r="S155" s="7"/>
    </row>
    <row r="156" spans="2:19">
      <c r="B156" s="69">
        <v>142</v>
      </c>
      <c r="C156" s="71" t="s">
        <v>729</v>
      </c>
      <c r="D156" s="71" t="s">
        <v>183</v>
      </c>
      <c r="E156" s="110" t="s">
        <v>730</v>
      </c>
      <c r="F156" s="73">
        <v>84282975</v>
      </c>
      <c r="G156" s="71" t="s">
        <v>80</v>
      </c>
      <c r="H156" s="71" t="s">
        <v>231</v>
      </c>
      <c r="I156" s="71" t="s">
        <v>211</v>
      </c>
      <c r="J156" s="71" t="s">
        <v>731</v>
      </c>
      <c r="K156" s="71" t="s">
        <v>732</v>
      </c>
      <c r="L156" s="71" t="s">
        <v>252</v>
      </c>
      <c r="M156" s="71" t="s">
        <v>168</v>
      </c>
      <c r="N156" s="71"/>
      <c r="O156" s="73"/>
      <c r="P156" s="2" t="s">
        <v>101</v>
      </c>
      <c r="Q156" s="2" t="s">
        <v>733</v>
      </c>
      <c r="R156" s="2" t="s">
        <v>180</v>
      </c>
      <c r="S156" s="127">
        <v>44168</v>
      </c>
    </row>
    <row r="157" spans="2:19">
      <c r="B157" s="69">
        <v>143</v>
      </c>
      <c r="C157" s="71" t="s">
        <v>734</v>
      </c>
      <c r="D157" s="71" t="s">
        <v>183</v>
      </c>
      <c r="E157" s="110" t="s">
        <v>735</v>
      </c>
      <c r="F157" s="73">
        <v>98779502</v>
      </c>
      <c r="G157" s="71"/>
      <c r="H157" s="71"/>
      <c r="I157" s="71" t="s">
        <v>165</v>
      </c>
      <c r="J157" s="71" t="s">
        <v>217</v>
      </c>
      <c r="K157" s="71" t="s">
        <v>736</v>
      </c>
      <c r="L157" s="71"/>
      <c r="M157" s="71"/>
      <c r="N157" s="71"/>
      <c r="O157" s="73"/>
      <c r="P157" s="2"/>
      <c r="Q157" s="2"/>
      <c r="R157" s="2" t="s">
        <v>180</v>
      </c>
      <c r="S157" s="7"/>
    </row>
    <row r="158" spans="2:19">
      <c r="B158" s="69">
        <v>144</v>
      </c>
      <c r="C158" s="71" t="s">
        <v>737</v>
      </c>
      <c r="D158" s="71" t="s">
        <v>163</v>
      </c>
      <c r="E158" s="110" t="s">
        <v>738</v>
      </c>
      <c r="F158" s="73">
        <v>97307536</v>
      </c>
      <c r="G158" s="71" t="s">
        <v>76</v>
      </c>
      <c r="H158" s="71" t="s">
        <v>231</v>
      </c>
      <c r="I158" s="71" t="s">
        <v>165</v>
      </c>
      <c r="J158" s="71" t="s">
        <v>739</v>
      </c>
      <c r="K158" s="71" t="s">
        <v>740</v>
      </c>
      <c r="L158" s="71" t="s">
        <v>241</v>
      </c>
      <c r="M158" s="71"/>
      <c r="N158" s="71"/>
      <c r="O158" s="73" t="s">
        <v>548</v>
      </c>
      <c r="P158" s="2" t="s">
        <v>108</v>
      </c>
      <c r="Q158" s="2" t="s">
        <v>741</v>
      </c>
      <c r="R158" s="2" t="s">
        <v>180</v>
      </c>
      <c r="S158" s="7"/>
    </row>
    <row r="159" spans="2:19">
      <c r="B159" s="69">
        <v>145</v>
      </c>
      <c r="C159" s="71" t="s">
        <v>742</v>
      </c>
      <c r="D159" s="71" t="s">
        <v>163</v>
      </c>
      <c r="E159" s="110" t="s">
        <v>743</v>
      </c>
      <c r="F159" s="73">
        <v>96931089</v>
      </c>
      <c r="G159" s="71"/>
      <c r="H159" s="71"/>
      <c r="I159" s="71" t="s">
        <v>211</v>
      </c>
      <c r="J159" s="71" t="s">
        <v>744</v>
      </c>
      <c r="K159" s="71"/>
      <c r="L159" s="71"/>
      <c r="M159" s="71"/>
      <c r="N159" s="71"/>
      <c r="O159" s="73"/>
      <c r="P159" s="2"/>
      <c r="Q159" s="2"/>
      <c r="R159" s="2" t="s">
        <v>180</v>
      </c>
      <c r="S159" s="7"/>
    </row>
    <row r="160" spans="2:19">
      <c r="B160" s="69">
        <v>146</v>
      </c>
      <c r="C160" s="71" t="s">
        <v>745</v>
      </c>
      <c r="D160" s="71" t="s">
        <v>163</v>
      </c>
      <c r="E160" s="110" t="s">
        <v>746</v>
      </c>
      <c r="F160" s="73">
        <v>91790307</v>
      </c>
      <c r="G160" s="71" t="s">
        <v>76</v>
      </c>
      <c r="H160" s="71" t="s">
        <v>231</v>
      </c>
      <c r="I160" s="71" t="s">
        <v>371</v>
      </c>
      <c r="J160" s="71" t="s">
        <v>558</v>
      </c>
      <c r="K160" s="71" t="s">
        <v>747</v>
      </c>
      <c r="L160" s="71" t="s">
        <v>252</v>
      </c>
      <c r="M160" s="71" t="s">
        <v>241</v>
      </c>
      <c r="N160" s="71"/>
      <c r="O160" s="73" t="s">
        <v>234</v>
      </c>
      <c r="P160" s="123" t="s">
        <v>75</v>
      </c>
      <c r="Q160" s="2" t="s">
        <v>235</v>
      </c>
      <c r="R160" s="2" t="s">
        <v>180</v>
      </c>
      <c r="S160" s="7"/>
    </row>
    <row r="161" spans="2:19">
      <c r="B161" s="69">
        <v>147</v>
      </c>
      <c r="C161" s="71" t="s">
        <v>748</v>
      </c>
      <c r="D161" s="71" t="s">
        <v>163</v>
      </c>
      <c r="E161" s="110" t="s">
        <v>749</v>
      </c>
      <c r="F161" s="73">
        <v>90222725</v>
      </c>
      <c r="G161" s="71"/>
      <c r="H161" s="71"/>
      <c r="I161" s="71" t="s">
        <v>165</v>
      </c>
      <c r="J161" s="71" t="s">
        <v>317</v>
      </c>
      <c r="K161" s="71" t="s">
        <v>750</v>
      </c>
      <c r="L161" s="71"/>
      <c r="M161" s="71"/>
      <c r="N161" s="71"/>
      <c r="O161" s="73"/>
      <c r="P161" s="2"/>
      <c r="Q161" s="2"/>
      <c r="R161" s="2" t="s">
        <v>180</v>
      </c>
      <c r="S161" s="7"/>
    </row>
    <row r="162" spans="2:19">
      <c r="B162" s="69">
        <v>148</v>
      </c>
      <c r="C162" s="71" t="s">
        <v>751</v>
      </c>
      <c r="D162" s="71" t="s">
        <v>163</v>
      </c>
      <c r="E162" s="110" t="s">
        <v>752</v>
      </c>
      <c r="F162" s="73">
        <v>97597832</v>
      </c>
      <c r="G162" s="71" t="s">
        <v>76</v>
      </c>
      <c r="H162" s="71" t="s">
        <v>199</v>
      </c>
      <c r="I162" s="71" t="s">
        <v>165</v>
      </c>
      <c r="J162" s="71" t="s">
        <v>275</v>
      </c>
      <c r="K162" s="71" t="s">
        <v>753</v>
      </c>
      <c r="L162" s="71" t="s">
        <v>252</v>
      </c>
      <c r="M162" s="71"/>
      <c r="N162" s="71"/>
      <c r="O162" s="73" t="s">
        <v>234</v>
      </c>
      <c r="P162" s="123" t="s">
        <v>75</v>
      </c>
      <c r="Q162" s="2" t="s">
        <v>235</v>
      </c>
      <c r="R162" s="2" t="s">
        <v>180</v>
      </c>
      <c r="S162" s="7"/>
    </row>
    <row r="163" spans="2:19">
      <c r="B163" s="69">
        <v>149</v>
      </c>
      <c r="C163" s="71" t="s">
        <v>754</v>
      </c>
      <c r="D163" s="71" t="s">
        <v>163</v>
      </c>
      <c r="E163" s="110" t="s">
        <v>755</v>
      </c>
      <c r="F163" s="73">
        <v>96396125</v>
      </c>
      <c r="G163" s="71"/>
      <c r="H163" s="71"/>
      <c r="I163" s="71" t="s">
        <v>165</v>
      </c>
      <c r="J163" s="71" t="s">
        <v>756</v>
      </c>
      <c r="K163" s="71" t="s">
        <v>757</v>
      </c>
      <c r="L163" s="71"/>
      <c r="M163" s="71"/>
      <c r="N163" s="71"/>
      <c r="O163" s="73"/>
      <c r="P163" s="2"/>
      <c r="Q163" s="2"/>
      <c r="R163" s="2" t="s">
        <v>180</v>
      </c>
      <c r="S163" s="7"/>
    </row>
    <row r="164" spans="2:19">
      <c r="B164" s="69">
        <v>150</v>
      </c>
      <c r="C164" s="71" t="s">
        <v>758</v>
      </c>
      <c r="D164" s="71" t="s">
        <v>163</v>
      </c>
      <c r="E164" s="110" t="s">
        <v>759</v>
      </c>
      <c r="F164" s="73">
        <v>87992997</v>
      </c>
      <c r="G164" s="71"/>
      <c r="H164" s="71"/>
      <c r="I164" s="71" t="s">
        <v>171</v>
      </c>
      <c r="J164" s="71" t="s">
        <v>760</v>
      </c>
      <c r="K164" s="71" t="s">
        <v>761</v>
      </c>
      <c r="L164" s="71"/>
      <c r="M164" s="71"/>
      <c r="N164" s="71"/>
      <c r="O164" s="73"/>
      <c r="P164" s="2"/>
      <c r="Q164" s="2"/>
      <c r="R164" s="2" t="s">
        <v>180</v>
      </c>
      <c r="S164" s="7"/>
    </row>
    <row r="165" spans="2:19">
      <c r="B165" s="69">
        <v>151</v>
      </c>
      <c r="C165" s="71" t="s">
        <v>762</v>
      </c>
      <c r="D165" s="71" t="s">
        <v>183</v>
      </c>
      <c r="E165" s="110" t="s">
        <v>763</v>
      </c>
      <c r="F165" s="73">
        <v>86069317</v>
      </c>
      <c r="G165" s="71" t="s">
        <v>76</v>
      </c>
      <c r="H165" s="71" t="s">
        <v>231</v>
      </c>
      <c r="I165" s="71" t="s">
        <v>171</v>
      </c>
      <c r="J165" s="71" t="s">
        <v>764</v>
      </c>
      <c r="K165" s="71" t="s">
        <v>765</v>
      </c>
      <c r="L165" s="71" t="s">
        <v>252</v>
      </c>
      <c r="M165" s="71"/>
      <c r="N165" s="71"/>
      <c r="O165" s="73" t="s">
        <v>548</v>
      </c>
      <c r="P165" s="123" t="s">
        <v>75</v>
      </c>
      <c r="Q165" s="2" t="s">
        <v>235</v>
      </c>
      <c r="R165" s="2" t="s">
        <v>180</v>
      </c>
      <c r="S165" s="7"/>
    </row>
    <row r="166" spans="2:19">
      <c r="B166" s="69">
        <v>152</v>
      </c>
      <c r="C166" s="71" t="s">
        <v>766</v>
      </c>
      <c r="D166" s="71" t="s">
        <v>163</v>
      </c>
      <c r="E166" s="110" t="s">
        <v>767</v>
      </c>
      <c r="F166" s="73">
        <v>96683900</v>
      </c>
      <c r="G166" s="71" t="s">
        <v>76</v>
      </c>
      <c r="H166" s="71" t="s">
        <v>231</v>
      </c>
      <c r="I166" s="71" t="s">
        <v>165</v>
      </c>
      <c r="J166" s="71" t="s">
        <v>768</v>
      </c>
      <c r="K166" s="71" t="s">
        <v>769</v>
      </c>
      <c r="L166" s="71" t="s">
        <v>252</v>
      </c>
      <c r="M166" s="71"/>
      <c r="N166" s="71"/>
      <c r="O166" s="73"/>
      <c r="P166" s="2" t="s">
        <v>108</v>
      </c>
      <c r="Q166" s="2" t="s">
        <v>770</v>
      </c>
      <c r="R166" s="2" t="s">
        <v>180</v>
      </c>
      <c r="S166" s="7"/>
    </row>
    <row r="167" spans="2:19">
      <c r="B167" s="69">
        <v>153</v>
      </c>
      <c r="C167" s="75" t="s">
        <v>771</v>
      </c>
      <c r="D167" s="75" t="s">
        <v>163</v>
      </c>
      <c r="E167" s="110" t="s">
        <v>772</v>
      </c>
      <c r="F167" s="76">
        <v>94518621</v>
      </c>
      <c r="G167" s="71"/>
      <c r="H167" s="71"/>
      <c r="I167" s="75" t="s">
        <v>171</v>
      </c>
      <c r="J167" s="75" t="s">
        <v>773</v>
      </c>
      <c r="K167" s="71" t="s">
        <v>774</v>
      </c>
      <c r="L167" s="71"/>
      <c r="M167" s="71"/>
      <c r="N167" s="71"/>
      <c r="O167" s="73"/>
      <c r="P167" s="2"/>
      <c r="Q167" s="2"/>
      <c r="R167" s="8" t="s">
        <v>180</v>
      </c>
      <c r="S167" s="9"/>
    </row>
    <row r="168" spans="2:19">
      <c r="B168" s="69">
        <v>154</v>
      </c>
      <c r="C168" s="71" t="s">
        <v>775</v>
      </c>
      <c r="D168" s="71" t="s">
        <v>183</v>
      </c>
      <c r="E168" s="110" t="s">
        <v>776</v>
      </c>
      <c r="F168" s="73">
        <v>81618089</v>
      </c>
      <c r="G168" s="71"/>
      <c r="H168" s="71"/>
      <c r="I168" s="71" t="s">
        <v>171</v>
      </c>
      <c r="J168" s="71" t="s">
        <v>777</v>
      </c>
      <c r="K168" s="71" t="s">
        <v>778</v>
      </c>
      <c r="L168" s="71"/>
      <c r="M168" s="71"/>
      <c r="N168" s="71"/>
      <c r="O168" s="73"/>
      <c r="P168" s="2"/>
      <c r="Q168" s="2"/>
      <c r="R168" s="2" t="s">
        <v>180</v>
      </c>
      <c r="S168" s="7"/>
    </row>
    <row r="169" spans="2:19">
      <c r="B169" s="69">
        <v>155</v>
      </c>
      <c r="C169" s="71" t="s">
        <v>779</v>
      </c>
      <c r="D169" s="71" t="s">
        <v>163</v>
      </c>
      <c r="E169" s="110" t="s">
        <v>780</v>
      </c>
      <c r="F169" s="73">
        <v>98333853</v>
      </c>
      <c r="G169" s="71" t="s">
        <v>80</v>
      </c>
      <c r="H169" s="71" t="s">
        <v>231</v>
      </c>
      <c r="I169" s="71" t="s">
        <v>171</v>
      </c>
      <c r="J169" s="71" t="s">
        <v>781</v>
      </c>
      <c r="K169" s="71"/>
      <c r="L169" s="71" t="s">
        <v>35</v>
      </c>
      <c r="M169" s="71"/>
      <c r="N169" s="71"/>
      <c r="O169" s="73" t="s">
        <v>234</v>
      </c>
      <c r="P169" s="2" t="s">
        <v>71</v>
      </c>
      <c r="Q169" s="2" t="s">
        <v>782</v>
      </c>
      <c r="R169" s="2"/>
      <c r="S169" s="7"/>
    </row>
    <row r="170" spans="2:19">
      <c r="B170" s="69">
        <v>156</v>
      </c>
      <c r="C170" s="71" t="s">
        <v>783</v>
      </c>
      <c r="D170" s="71" t="s">
        <v>163</v>
      </c>
      <c r="E170" s="110" t="s">
        <v>784</v>
      </c>
      <c r="F170" s="73">
        <v>97612771</v>
      </c>
      <c r="G170" s="71"/>
      <c r="H170" s="71"/>
      <c r="I170" s="71" t="s">
        <v>165</v>
      </c>
      <c r="J170" s="71" t="s">
        <v>625</v>
      </c>
      <c r="K170" s="71" t="s">
        <v>785</v>
      </c>
      <c r="L170" s="71"/>
      <c r="M170" s="71"/>
      <c r="N170" s="71"/>
      <c r="O170" s="73"/>
      <c r="P170" s="2"/>
      <c r="Q170" s="2"/>
      <c r="R170" s="2" t="s">
        <v>180</v>
      </c>
      <c r="S170" s="7"/>
    </row>
    <row r="171" spans="2:19">
      <c r="B171" s="69">
        <v>157</v>
      </c>
      <c r="C171" s="71" t="s">
        <v>786</v>
      </c>
      <c r="D171" s="71" t="s">
        <v>163</v>
      </c>
      <c r="E171" s="110" t="s">
        <v>787</v>
      </c>
      <c r="F171" s="73">
        <v>87426718</v>
      </c>
      <c r="G171" s="71" t="s">
        <v>80</v>
      </c>
      <c r="H171" s="71" t="s">
        <v>231</v>
      </c>
      <c r="I171" s="71" t="s">
        <v>165</v>
      </c>
      <c r="J171" s="71" t="s">
        <v>312</v>
      </c>
      <c r="K171" s="71" t="s">
        <v>788</v>
      </c>
      <c r="L171" s="71" t="s">
        <v>35</v>
      </c>
      <c r="M171" s="71"/>
      <c r="N171" s="71"/>
      <c r="O171" s="73"/>
      <c r="P171" s="2" t="s">
        <v>71</v>
      </c>
      <c r="Q171" s="2" t="s">
        <v>782</v>
      </c>
      <c r="R171" s="2"/>
      <c r="S171" s="7"/>
    </row>
    <row r="172" spans="2:19">
      <c r="B172" s="69">
        <v>158</v>
      </c>
      <c r="C172" s="71" t="s">
        <v>789</v>
      </c>
      <c r="D172" s="71" t="s">
        <v>163</v>
      </c>
      <c r="E172" s="110" t="s">
        <v>790</v>
      </c>
      <c r="F172" s="73">
        <v>96490612</v>
      </c>
      <c r="G172" s="71" t="s">
        <v>80</v>
      </c>
      <c r="H172" s="71" t="s">
        <v>231</v>
      </c>
      <c r="I172" s="71" t="s">
        <v>165</v>
      </c>
      <c r="J172" s="71" t="s">
        <v>275</v>
      </c>
      <c r="K172" s="71" t="s">
        <v>791</v>
      </c>
      <c r="L172" s="71" t="s">
        <v>35</v>
      </c>
      <c r="M172" s="71"/>
      <c r="N172" s="71"/>
      <c r="O172" s="73" t="s">
        <v>234</v>
      </c>
      <c r="P172" s="2" t="s">
        <v>75</v>
      </c>
      <c r="Q172" s="2" t="s">
        <v>235</v>
      </c>
      <c r="R172" s="2" t="s">
        <v>180</v>
      </c>
      <c r="S172" s="7"/>
    </row>
    <row r="173" spans="2:19">
      <c r="B173" s="69">
        <v>159</v>
      </c>
      <c r="C173" s="71" t="s">
        <v>792</v>
      </c>
      <c r="D173" s="71" t="s">
        <v>183</v>
      </c>
      <c r="E173" s="110" t="s">
        <v>793</v>
      </c>
      <c r="F173" s="73">
        <v>84925537</v>
      </c>
      <c r="G173" s="71"/>
      <c r="H173" s="71"/>
      <c r="I173" s="71" t="s">
        <v>165</v>
      </c>
      <c r="J173" s="71" t="s">
        <v>764</v>
      </c>
      <c r="K173" s="71" t="s">
        <v>794</v>
      </c>
      <c r="L173" s="71"/>
      <c r="M173" s="71"/>
      <c r="N173" s="71"/>
      <c r="O173" s="73"/>
      <c r="P173" s="2"/>
      <c r="Q173" s="2"/>
      <c r="R173" s="2" t="s">
        <v>180</v>
      </c>
      <c r="S173" s="7"/>
    </row>
    <row r="174" spans="2:19">
      <c r="B174" s="69">
        <v>160</v>
      </c>
      <c r="C174" s="71" t="s">
        <v>795</v>
      </c>
      <c r="D174" s="71" t="s">
        <v>163</v>
      </c>
      <c r="E174" s="110" t="s">
        <v>796</v>
      </c>
      <c r="F174" s="73">
        <v>92206225</v>
      </c>
      <c r="G174" s="71"/>
      <c r="H174" s="71"/>
      <c r="I174" s="71" t="s">
        <v>165</v>
      </c>
      <c r="J174" s="71" t="s">
        <v>797</v>
      </c>
      <c r="K174" s="71" t="s">
        <v>798</v>
      </c>
      <c r="L174" s="71"/>
      <c r="M174" s="71"/>
      <c r="N174" s="71"/>
      <c r="O174" s="73"/>
      <c r="P174" s="2"/>
      <c r="Q174" s="2"/>
      <c r="R174" s="2" t="s">
        <v>180</v>
      </c>
      <c r="S174" s="7"/>
    </row>
    <row r="175" spans="2:19">
      <c r="B175" s="69">
        <v>161</v>
      </c>
      <c r="C175" s="71" t="s">
        <v>799</v>
      </c>
      <c r="D175" s="71" t="s">
        <v>163</v>
      </c>
      <c r="E175" s="110" t="s">
        <v>800</v>
      </c>
      <c r="F175" s="73">
        <v>96264418</v>
      </c>
      <c r="G175" s="71"/>
      <c r="H175" s="71"/>
      <c r="I175" s="71" t="s">
        <v>165</v>
      </c>
      <c r="J175" s="71" t="s">
        <v>801</v>
      </c>
      <c r="K175" s="71" t="s">
        <v>802</v>
      </c>
      <c r="L175" s="71"/>
      <c r="M175" s="71"/>
      <c r="N175" s="71"/>
      <c r="O175" s="73"/>
      <c r="P175" s="2"/>
      <c r="Q175" s="2"/>
      <c r="R175" s="2" t="s">
        <v>180</v>
      </c>
      <c r="S175" s="7"/>
    </row>
    <row r="176" spans="2:19">
      <c r="B176" s="69">
        <v>162</v>
      </c>
      <c r="C176" s="71" t="s">
        <v>803</v>
      </c>
      <c r="D176" s="71" t="s">
        <v>163</v>
      </c>
      <c r="E176" s="110" t="s">
        <v>804</v>
      </c>
      <c r="F176" s="73">
        <v>98893975</v>
      </c>
      <c r="G176" s="71" t="s">
        <v>80</v>
      </c>
      <c r="H176" s="71" t="s">
        <v>231</v>
      </c>
      <c r="I176" s="71" t="s">
        <v>171</v>
      </c>
      <c r="J176" s="71" t="s">
        <v>805</v>
      </c>
      <c r="K176" s="71"/>
      <c r="L176" s="71" t="s">
        <v>35</v>
      </c>
      <c r="M176" s="71"/>
      <c r="N176" s="71"/>
      <c r="O176" s="73" t="s">
        <v>548</v>
      </c>
      <c r="P176" s="2" t="s">
        <v>75</v>
      </c>
      <c r="Q176" s="2" t="s">
        <v>235</v>
      </c>
      <c r="R176" s="2" t="s">
        <v>180</v>
      </c>
      <c r="S176" s="7"/>
    </row>
    <row r="177" spans="2:19">
      <c r="B177" s="111">
        <v>163</v>
      </c>
      <c r="C177" s="112" t="s">
        <v>806</v>
      </c>
      <c r="D177" s="112" t="s">
        <v>163</v>
      </c>
      <c r="E177" s="113" t="s">
        <v>807</v>
      </c>
      <c r="F177" s="114">
        <v>88098822</v>
      </c>
      <c r="G177" s="112" t="s">
        <v>80</v>
      </c>
      <c r="H177" s="112" t="s">
        <v>231</v>
      </c>
      <c r="I177" s="112" t="s">
        <v>171</v>
      </c>
      <c r="J177" s="112" t="s">
        <v>250</v>
      </c>
      <c r="K177" s="112" t="s">
        <v>808</v>
      </c>
      <c r="L177" s="112" t="s">
        <v>35</v>
      </c>
      <c r="M177" s="112"/>
      <c r="N177" s="112"/>
      <c r="O177" s="114" t="s">
        <v>548</v>
      </c>
      <c r="P177" s="123" t="s">
        <v>75</v>
      </c>
      <c r="Q177" s="123" t="s">
        <v>809</v>
      </c>
      <c r="R177" s="123" t="s">
        <v>180</v>
      </c>
      <c r="S177" s="126"/>
    </row>
    <row r="178" spans="2:19">
      <c r="B178" s="111">
        <v>164</v>
      </c>
      <c r="C178" s="112" t="s">
        <v>810</v>
      </c>
      <c r="D178" s="112" t="s">
        <v>163</v>
      </c>
      <c r="E178" s="113" t="s">
        <v>811</v>
      </c>
      <c r="F178" s="114">
        <v>85332017</v>
      </c>
      <c r="G178" s="112" t="s">
        <v>80</v>
      </c>
      <c r="H178" s="112" t="s">
        <v>231</v>
      </c>
      <c r="I178" s="112" t="s">
        <v>171</v>
      </c>
      <c r="J178" s="112" t="s">
        <v>137</v>
      </c>
      <c r="K178" s="112" t="s">
        <v>812</v>
      </c>
      <c r="L178" s="112" t="s">
        <v>35</v>
      </c>
      <c r="M178" s="112" t="s">
        <v>252</v>
      </c>
      <c r="N178" s="112"/>
      <c r="O178" s="114" t="s">
        <v>234</v>
      </c>
      <c r="P178" s="123" t="s">
        <v>75</v>
      </c>
      <c r="Q178" s="123" t="s">
        <v>235</v>
      </c>
      <c r="R178" s="123" t="s">
        <v>180</v>
      </c>
      <c r="S178" s="126"/>
    </row>
    <row r="179" spans="2:19">
      <c r="B179" s="69">
        <v>165</v>
      </c>
      <c r="C179" s="71" t="s">
        <v>813</v>
      </c>
      <c r="D179" s="71" t="s">
        <v>163</v>
      </c>
      <c r="E179" s="110" t="s">
        <v>814</v>
      </c>
      <c r="F179" s="73">
        <v>98360739</v>
      </c>
      <c r="G179" s="71"/>
      <c r="H179" s="71"/>
      <c r="I179" s="71" t="s">
        <v>171</v>
      </c>
      <c r="J179" s="71" t="s">
        <v>815</v>
      </c>
      <c r="K179" s="71" t="s">
        <v>816</v>
      </c>
      <c r="L179" s="71"/>
      <c r="M179" s="71"/>
      <c r="N179" s="71"/>
      <c r="O179" s="73"/>
      <c r="P179" s="2"/>
      <c r="Q179" s="2"/>
      <c r="R179" s="2" t="s">
        <v>180</v>
      </c>
      <c r="S179" s="7"/>
    </row>
    <row r="180" spans="2:19">
      <c r="B180" s="69">
        <v>166</v>
      </c>
      <c r="C180" s="71" t="s">
        <v>817</v>
      </c>
      <c r="D180" s="71" t="s">
        <v>163</v>
      </c>
      <c r="E180" s="110" t="s">
        <v>818</v>
      </c>
      <c r="F180" s="73">
        <v>81612445</v>
      </c>
      <c r="G180" s="71"/>
      <c r="H180" s="71"/>
      <c r="I180" s="71" t="s">
        <v>316</v>
      </c>
      <c r="J180" s="71" t="s">
        <v>819</v>
      </c>
      <c r="K180" s="71" t="s">
        <v>820</v>
      </c>
      <c r="L180" s="71"/>
      <c r="M180" s="71"/>
      <c r="N180" s="71"/>
      <c r="O180" s="73"/>
      <c r="P180" s="2"/>
      <c r="Q180" s="2"/>
      <c r="R180" s="2" t="s">
        <v>180</v>
      </c>
      <c r="S180" s="7"/>
    </row>
    <row r="181" spans="2:19">
      <c r="B181" s="111">
        <v>167</v>
      </c>
      <c r="C181" s="112" t="s">
        <v>821</v>
      </c>
      <c r="D181" s="112" t="s">
        <v>163</v>
      </c>
      <c r="E181" s="113" t="s">
        <v>822</v>
      </c>
      <c r="F181" s="114">
        <v>81119703</v>
      </c>
      <c r="G181" s="112" t="s">
        <v>80</v>
      </c>
      <c r="H181" s="112" t="s">
        <v>231</v>
      </c>
      <c r="I181" s="112" t="s">
        <v>316</v>
      </c>
      <c r="J181" s="112" t="s">
        <v>744</v>
      </c>
      <c r="K181" s="112" t="s">
        <v>823</v>
      </c>
      <c r="L181" s="112" t="s">
        <v>35</v>
      </c>
      <c r="M181" s="112"/>
      <c r="N181" s="112"/>
      <c r="O181" s="114" t="s">
        <v>824</v>
      </c>
      <c r="P181" s="123" t="s">
        <v>75</v>
      </c>
      <c r="Q181" s="123" t="s">
        <v>809</v>
      </c>
      <c r="R181" s="123" t="s">
        <v>180</v>
      </c>
      <c r="S181" s="126"/>
    </row>
    <row r="182" spans="2:19">
      <c r="B182" s="69">
        <v>168</v>
      </c>
      <c r="C182" s="71" t="s">
        <v>825</v>
      </c>
      <c r="D182" s="71" t="s">
        <v>163</v>
      </c>
      <c r="E182" s="110" t="s">
        <v>826</v>
      </c>
      <c r="F182" s="73">
        <v>81884017</v>
      </c>
      <c r="G182" s="71"/>
      <c r="H182" s="71"/>
      <c r="I182" s="71" t="s">
        <v>171</v>
      </c>
      <c r="J182" s="71" t="s">
        <v>312</v>
      </c>
      <c r="K182" s="71" t="s">
        <v>827</v>
      </c>
      <c r="L182" s="71"/>
      <c r="M182" s="71"/>
      <c r="N182" s="71"/>
      <c r="O182" s="73"/>
      <c r="P182" s="2"/>
      <c r="Q182" s="2"/>
      <c r="R182" s="2" t="s">
        <v>180</v>
      </c>
      <c r="S182" s="7"/>
    </row>
    <row r="183" spans="2:19">
      <c r="B183" s="69">
        <v>169</v>
      </c>
      <c r="C183" s="71" t="s">
        <v>828</v>
      </c>
      <c r="D183" s="71" t="s">
        <v>163</v>
      </c>
      <c r="E183" s="110" t="s">
        <v>829</v>
      </c>
      <c r="F183" s="73">
        <v>96413924</v>
      </c>
      <c r="G183" s="71" t="s">
        <v>80</v>
      </c>
      <c r="H183" s="71" t="s">
        <v>199</v>
      </c>
      <c r="I183" s="71" t="s">
        <v>165</v>
      </c>
      <c r="J183" s="71" t="s">
        <v>830</v>
      </c>
      <c r="K183" s="71" t="s">
        <v>831</v>
      </c>
      <c r="L183" s="71" t="s">
        <v>35</v>
      </c>
      <c r="M183" s="71" t="s">
        <v>174</v>
      </c>
      <c r="N183" s="71" t="s">
        <v>35</v>
      </c>
      <c r="O183" s="73"/>
      <c r="P183" s="2" t="s">
        <v>71</v>
      </c>
      <c r="Q183" s="2" t="s">
        <v>782</v>
      </c>
      <c r="R183" s="2"/>
      <c r="S183" s="7"/>
    </row>
    <row r="184" spans="2:19">
      <c r="B184" s="69">
        <v>170</v>
      </c>
      <c r="C184" s="75" t="s">
        <v>832</v>
      </c>
      <c r="D184" s="75" t="s">
        <v>183</v>
      </c>
      <c r="E184" s="110" t="s">
        <v>833</v>
      </c>
      <c r="F184" s="76">
        <v>98614379</v>
      </c>
      <c r="G184" s="71"/>
      <c r="H184" s="71"/>
      <c r="I184" s="75" t="s">
        <v>165</v>
      </c>
      <c r="J184" s="75" t="s">
        <v>834</v>
      </c>
      <c r="K184" s="71" t="s">
        <v>835</v>
      </c>
      <c r="L184" s="71"/>
      <c r="M184" s="71"/>
      <c r="N184" s="71"/>
      <c r="O184" s="73"/>
      <c r="P184" s="2"/>
      <c r="Q184" s="2"/>
      <c r="R184" s="8" t="s">
        <v>180</v>
      </c>
      <c r="S184" s="9"/>
    </row>
    <row r="185" spans="2:19">
      <c r="B185" s="69">
        <v>171</v>
      </c>
      <c r="C185" s="71" t="s">
        <v>836</v>
      </c>
      <c r="D185" s="71"/>
      <c r="E185" s="110" t="s">
        <v>837</v>
      </c>
      <c r="F185" s="73">
        <v>96877630</v>
      </c>
      <c r="G185" s="71" t="s">
        <v>76</v>
      </c>
      <c r="H185" s="71"/>
      <c r="I185" s="71"/>
      <c r="J185" s="71"/>
      <c r="K185" s="71"/>
      <c r="L185" s="71" t="s">
        <v>218</v>
      </c>
      <c r="M185" s="71" t="s">
        <v>174</v>
      </c>
      <c r="N185" s="71" t="s">
        <v>196</v>
      </c>
      <c r="O185" s="73" t="s">
        <v>234</v>
      </c>
      <c r="P185" s="2" t="s">
        <v>108</v>
      </c>
      <c r="Q185" s="2" t="s">
        <v>838</v>
      </c>
      <c r="R185" s="2" t="s">
        <v>180</v>
      </c>
      <c r="S185" s="7"/>
    </row>
    <row r="186" spans="2:19">
      <c r="B186" s="69">
        <v>172</v>
      </c>
      <c r="C186" s="75" t="s">
        <v>839</v>
      </c>
      <c r="D186" s="75" t="s">
        <v>163</v>
      </c>
      <c r="E186" s="117" t="s">
        <v>840</v>
      </c>
      <c r="F186" s="76">
        <v>82227950</v>
      </c>
      <c r="G186" s="75" t="s">
        <v>76</v>
      </c>
      <c r="H186" s="75"/>
      <c r="I186" s="75" t="s">
        <v>316</v>
      </c>
      <c r="J186" s="75"/>
      <c r="K186" s="71" t="s">
        <v>841</v>
      </c>
      <c r="L186" s="75" t="s">
        <v>192</v>
      </c>
      <c r="M186" s="75" t="s">
        <v>208</v>
      </c>
      <c r="N186" s="75" t="s">
        <v>196</v>
      </c>
      <c r="O186" s="76" t="s">
        <v>548</v>
      </c>
      <c r="P186" s="123" t="s">
        <v>75</v>
      </c>
      <c r="Q186" s="8" t="s">
        <v>235</v>
      </c>
      <c r="R186" s="8" t="s">
        <v>180</v>
      </c>
      <c r="S186" s="9"/>
    </row>
    <row r="187" spans="2:19">
      <c r="B187" s="77">
        <v>173</v>
      </c>
      <c r="C187" s="75" t="s">
        <v>842</v>
      </c>
      <c r="D187" s="75"/>
      <c r="E187" s="75"/>
      <c r="F187" s="76">
        <v>94764091</v>
      </c>
      <c r="G187" s="75" t="s">
        <v>80</v>
      </c>
      <c r="H187" s="75"/>
      <c r="I187" s="75" t="s">
        <v>171</v>
      </c>
      <c r="J187" s="75"/>
      <c r="K187" s="75"/>
      <c r="L187" s="75"/>
      <c r="M187" s="75"/>
      <c r="N187" s="75"/>
      <c r="O187" s="76"/>
      <c r="P187" s="8" t="s">
        <v>75</v>
      </c>
      <c r="Q187" s="8" t="s">
        <v>235</v>
      </c>
      <c r="R187" s="8" t="s">
        <v>180</v>
      </c>
      <c r="S187" s="9"/>
    </row>
  </sheetData>
  <sheetProtection algorithmName="SHA-512" hashValue="HQD/rxwN5oNZxT8dYCno2ZU8+TC3cWZddMMKroJu7x1dgbegJK/nmwIxF7Pxw8+e9uEGSa2/QPY5vizRaE1A2A==" saltValue="5B9lwRg+DN7LGRJm1K4S/Q==" spinCount="100000" sheet="1" objects="1" scenarios="1"/>
  <mergeCells count="15">
    <mergeCell ref="D9:F9"/>
    <mergeCell ref="G9:H9"/>
    <mergeCell ref="D10:F10"/>
    <mergeCell ref="G10:H10"/>
    <mergeCell ref="D11:F11"/>
    <mergeCell ref="G11:H11"/>
    <mergeCell ref="D2:H2"/>
    <mergeCell ref="D3:H3"/>
    <mergeCell ref="D4:H4"/>
    <mergeCell ref="D6:H6"/>
    <mergeCell ref="C7:C8"/>
    <mergeCell ref="D7:F7"/>
    <mergeCell ref="G7:H7"/>
    <mergeCell ref="D8:F8"/>
    <mergeCell ref="G8:H8"/>
  </mergeCells>
  <conditionalFormatting sqref="P15:P1048576">
    <cfRule type="cellIs" dxfId="448" priority="1" operator="equal">
      <formula>"[AE] Failed Interview &amp; Provide Reasons"</formula>
    </cfRule>
    <cfRule type="cellIs" dxfId="447" priority="2" operator="equal">
      <formula>"[PE] Withdrawn"</formula>
    </cfRule>
    <cfRule type="cellIs" dxfId="446" priority="3" operator="equal">
      <formula>"[PE] KIV"</formula>
    </cfRule>
    <cfRule type="containsText" dxfId="445" priority="4" operator="containsText" text="[PE]">
      <formula>NOT(ISERROR(SEARCH("[PE]",P15)))</formula>
    </cfRule>
    <cfRule type="containsText" dxfId="444" priority="5" operator="containsText" text="[AE]">
      <formula>NOT(ISERROR(SEARCH("[AE]",P15)))</formula>
    </cfRule>
  </conditionalFormatting>
  <conditionalFormatting sqref="C15:C187">
    <cfRule type="duplicateValues" dxfId="443" priority="6"/>
  </conditionalFormatting>
  <dataValidations count="5">
    <dataValidation type="list" allowBlank="1" showInputMessage="1" showErrorMessage="1" sqref="L15:N1048576" xr:uid="{00000000-0002-0000-0200-000000000000}">
      <formula1>$V$15:$V$31</formula1>
    </dataValidation>
    <dataValidation type="list" allowBlank="1" showInputMessage="1" showErrorMessage="1" sqref="G15:G1048576" xr:uid="{00000000-0002-0000-0200-000001000000}">
      <formula1>"Yan Yee, Edward, Keely, Sherlynn, Chloe, Donny, Ace, Joyce, Amanda, Jaclyn, Charlotte, Jiaxin, Mandy"</formula1>
    </dataValidation>
    <dataValidation type="list" allowBlank="1" showInputMessage="1" showErrorMessage="1" sqref="H15:H1048576" xr:uid="{00000000-0002-0000-0200-000002000000}">
      <formula1>"2018 and earlier, 2019 onwards"</formula1>
    </dataValidation>
    <dataValidation type="list" allowBlank="1" showInputMessage="1" showErrorMessage="1" sqref="I15:I1048576" xr:uid="{00000000-0002-0000-0200-000003000000}">
      <formula1>"Degree or equivalent, Diploma or equivalent, NITEC / Higher NITEC, Masters &amp; Above, ""O"" Levels &amp; Below"</formula1>
    </dataValidation>
    <dataValidation type="list" allowBlank="1" showInputMessage="1" showErrorMessage="1" sqref="D15:D1048576" xr:uid="{00000000-0002-0000-0200-000004000000}">
      <formula1>"Singaporean, SPR"</formula1>
    </dataValidation>
  </dataValidations>
  <hyperlinks>
    <hyperlink ref="E186" r:id="rId1" xr:uid="{00000000-0004-0000-0200-000000000000}"/>
    <hyperlink ref="E185" r:id="rId2" xr:uid="{00000000-0004-0000-0200-000001000000}"/>
  </hyperlinks>
  <pageMargins left="0.7" right="0.7" top="0.75" bottom="0.75" header="0.3" footer="0.3"/>
  <pageSetup paperSize="9" orientation="portrait" horizontalDpi="4294967295" verticalDpi="4294967295"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5000000}">
          <x14:formula1>
            <xm:f>'Main Page'!$O$3:$O$14</xm:f>
          </x14:formula1>
          <xm:sqref>P15:P1048576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sheetPr>
  <dimension ref="A1:P31"/>
  <sheetViews>
    <sheetView tabSelected="1" zoomScale="80" zoomScaleNormal="80" workbookViewId="0">
      <pane xSplit="3" topLeftCell="K8" activePane="topRight" state="frozen"/>
      <selection pane="topRight" activeCell="O11" sqref="O11"/>
    </sheetView>
  </sheetViews>
  <sheetFormatPr defaultColWidth="8.7109375" defaultRowHeight="14.45"/>
  <cols>
    <col min="1" max="1" width="5.5703125" style="83" customWidth="1"/>
    <col min="2" max="2" width="5.85546875" style="87" customWidth="1"/>
    <col min="3" max="3" width="31.140625" style="83" bestFit="1" customWidth="1"/>
    <col min="4" max="4" width="15.5703125" style="83" customWidth="1"/>
    <col min="5" max="5" width="25.85546875" style="83" customWidth="1"/>
    <col min="6" max="6" width="16.5703125" style="83" customWidth="1"/>
    <col min="7" max="7" width="50.5703125" style="83" hidden="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27.42578125" style="3" bestFit="1" customWidth="1"/>
    <col min="14" max="14" width="23.42578125" style="3" customWidth="1"/>
    <col min="15" max="15" width="15.140625" style="3" customWidth="1"/>
    <col min="16" max="16" width="11.42578125" style="3" customWidth="1"/>
    <col min="17" max="16384" width="8.7109375" style="3"/>
  </cols>
  <sheetData>
    <row r="1" spans="2:16" hidden="1">
      <c r="B1" s="83"/>
    </row>
    <row r="2" spans="2:16" ht="180" hidden="1" customHeight="1">
      <c r="B2" s="83"/>
      <c r="C2" s="84" t="s">
        <v>843</v>
      </c>
      <c r="D2" s="239" t="s">
        <v>844</v>
      </c>
      <c r="E2" s="239"/>
      <c r="F2" s="239"/>
      <c r="G2" s="239"/>
      <c r="H2" s="239"/>
      <c r="I2" s="239"/>
      <c r="J2" s="239"/>
      <c r="K2" s="239"/>
      <c r="L2" s="239"/>
    </row>
    <row r="3" spans="2:16" hidden="1">
      <c r="B3" s="83"/>
      <c r="C3" s="85" t="s">
        <v>845</v>
      </c>
      <c r="D3" s="240"/>
      <c r="E3" s="240"/>
      <c r="F3" s="240"/>
      <c r="G3" s="240"/>
      <c r="H3" s="240"/>
      <c r="I3" s="240"/>
      <c r="J3" s="240"/>
      <c r="K3" s="240"/>
      <c r="L3" s="240"/>
    </row>
    <row r="4" spans="2:16" hidden="1">
      <c r="B4" s="83"/>
      <c r="C4" s="85" t="s">
        <v>128</v>
      </c>
      <c r="D4" s="235" t="s">
        <v>846</v>
      </c>
      <c r="E4" s="235"/>
      <c r="F4" s="235"/>
      <c r="G4" s="235"/>
      <c r="H4" s="235"/>
      <c r="I4" s="235"/>
      <c r="J4" s="235"/>
      <c r="K4" s="235"/>
      <c r="L4" s="235"/>
    </row>
    <row r="5" spans="2:16" hidden="1">
      <c r="B5" s="83"/>
      <c r="C5" s="85" t="s">
        <v>5</v>
      </c>
      <c r="D5" s="235" t="s">
        <v>25</v>
      </c>
      <c r="E5" s="235"/>
      <c r="F5" s="235"/>
      <c r="G5" s="235"/>
      <c r="H5" s="235"/>
      <c r="I5" s="235"/>
      <c r="J5" s="235"/>
      <c r="K5" s="235"/>
      <c r="L5" s="235"/>
    </row>
    <row r="6" spans="2:16" hidden="1">
      <c r="B6" s="83"/>
      <c r="C6" s="85" t="s">
        <v>62</v>
      </c>
      <c r="D6" s="236" t="s">
        <v>847</v>
      </c>
      <c r="E6" s="237"/>
      <c r="F6" s="237"/>
      <c r="G6" s="237"/>
      <c r="H6" s="237"/>
      <c r="I6" s="237"/>
      <c r="J6" s="237"/>
      <c r="K6" s="237"/>
      <c r="L6" s="238"/>
    </row>
    <row r="7" spans="2:16" hidden="1">
      <c r="B7" s="83"/>
      <c r="C7" s="86"/>
    </row>
    <row r="8" spans="2:16">
      <c r="B8" s="83"/>
    </row>
    <row r="9" spans="2:16" ht="57.95">
      <c r="B9" s="67" t="s">
        <v>143</v>
      </c>
      <c r="C9" s="68" t="s">
        <v>144</v>
      </c>
      <c r="D9" s="68" t="s">
        <v>180</v>
      </c>
      <c r="E9" s="68" t="s">
        <v>146</v>
      </c>
      <c r="F9" s="68" t="s">
        <v>147</v>
      </c>
      <c r="G9" s="68" t="s">
        <v>152</v>
      </c>
      <c r="H9" s="68" t="s">
        <v>148</v>
      </c>
      <c r="I9" s="68" t="s">
        <v>848</v>
      </c>
      <c r="J9" s="68" t="s">
        <v>849</v>
      </c>
      <c r="K9" s="68" t="s">
        <v>850</v>
      </c>
      <c r="L9" s="68" t="s">
        <v>851</v>
      </c>
      <c r="M9" s="1" t="s">
        <v>157</v>
      </c>
      <c r="N9" s="1" t="s">
        <v>158</v>
      </c>
      <c r="O9" s="4" t="s">
        <v>159</v>
      </c>
      <c r="P9" s="5" t="s">
        <v>160</v>
      </c>
    </row>
    <row r="10" spans="2:16">
      <c r="B10" s="69">
        <v>1</v>
      </c>
      <c r="C10" s="71" t="s">
        <v>852</v>
      </c>
      <c r="D10" s="71" t="s">
        <v>163</v>
      </c>
      <c r="E10" s="72" t="s">
        <v>853</v>
      </c>
      <c r="F10" s="73">
        <v>96614098</v>
      </c>
      <c r="G10" s="71" t="s">
        <v>854</v>
      </c>
      <c r="H10" s="71" t="s">
        <v>25</v>
      </c>
      <c r="I10" s="71" t="s">
        <v>855</v>
      </c>
      <c r="J10" s="71"/>
      <c r="K10" s="71"/>
      <c r="L10" s="71" t="s">
        <v>856</v>
      </c>
      <c r="M10" s="2" t="s">
        <v>89</v>
      </c>
      <c r="N10" s="2" t="s">
        <v>857</v>
      </c>
      <c r="O10" s="2" t="s">
        <v>858</v>
      </c>
      <c r="P10" s="7"/>
    </row>
    <row r="11" spans="2:16">
      <c r="B11" s="69">
        <v>2</v>
      </c>
      <c r="C11" s="71" t="s">
        <v>859</v>
      </c>
      <c r="D11" s="71" t="s">
        <v>163</v>
      </c>
      <c r="E11" s="72" t="s">
        <v>860</v>
      </c>
      <c r="F11" s="73">
        <v>97764684</v>
      </c>
      <c r="G11" s="71" t="s">
        <v>861</v>
      </c>
      <c r="H11" s="71" t="s">
        <v>25</v>
      </c>
      <c r="I11" s="71" t="s">
        <v>855</v>
      </c>
      <c r="J11" s="71"/>
      <c r="K11" s="71"/>
      <c r="L11" s="71" t="s">
        <v>856</v>
      </c>
      <c r="M11" s="2" t="s">
        <v>75</v>
      </c>
      <c r="N11" s="2" t="s">
        <v>862</v>
      </c>
      <c r="O11" s="2"/>
      <c r="P11" s="7"/>
    </row>
    <row r="12" spans="2:16">
      <c r="B12" s="69">
        <v>3</v>
      </c>
      <c r="C12" s="71" t="s">
        <v>863</v>
      </c>
      <c r="D12" s="71" t="s">
        <v>163</v>
      </c>
      <c r="E12" s="72" t="s">
        <v>864</v>
      </c>
      <c r="F12" s="73">
        <v>92329158</v>
      </c>
      <c r="G12" s="71" t="s">
        <v>865</v>
      </c>
      <c r="H12" s="71" t="s">
        <v>25</v>
      </c>
      <c r="I12" s="71" t="s">
        <v>855</v>
      </c>
      <c r="J12" s="71"/>
      <c r="K12" s="71"/>
      <c r="L12" s="71" t="s">
        <v>856</v>
      </c>
      <c r="M12" s="2" t="s">
        <v>75</v>
      </c>
      <c r="N12" s="2" t="s">
        <v>862</v>
      </c>
      <c r="O12" s="2"/>
      <c r="P12" s="7"/>
    </row>
    <row r="13" spans="2:16">
      <c r="B13" s="69">
        <v>4</v>
      </c>
      <c r="C13" s="71" t="s">
        <v>866</v>
      </c>
      <c r="D13" s="71" t="s">
        <v>163</v>
      </c>
      <c r="E13" s="72" t="s">
        <v>867</v>
      </c>
      <c r="F13" s="73">
        <v>91058028</v>
      </c>
      <c r="G13" s="71" t="s">
        <v>868</v>
      </c>
      <c r="H13" s="71" t="s">
        <v>25</v>
      </c>
      <c r="I13" s="71" t="s">
        <v>855</v>
      </c>
      <c r="J13" s="71"/>
      <c r="K13" s="71"/>
      <c r="L13" s="71"/>
      <c r="M13" s="2" t="s">
        <v>75</v>
      </c>
      <c r="N13" s="2" t="s">
        <v>862</v>
      </c>
      <c r="O13" s="2"/>
      <c r="P13" s="7"/>
    </row>
    <row r="14" spans="2:16">
      <c r="B14" s="69">
        <v>5</v>
      </c>
      <c r="C14" s="71" t="s">
        <v>869</v>
      </c>
      <c r="D14" s="71" t="s">
        <v>163</v>
      </c>
      <c r="E14" s="72" t="s">
        <v>870</v>
      </c>
      <c r="F14" s="73">
        <v>81268282</v>
      </c>
      <c r="G14" s="71" t="s">
        <v>871</v>
      </c>
      <c r="H14" s="71"/>
      <c r="I14" s="71"/>
      <c r="J14" s="71"/>
      <c r="K14" s="71"/>
      <c r="L14" s="71"/>
      <c r="M14" s="2"/>
      <c r="N14" s="2"/>
      <c r="O14" s="2"/>
      <c r="P14" s="7"/>
    </row>
    <row r="15" spans="2:16">
      <c r="B15" s="69">
        <v>6</v>
      </c>
      <c r="C15" s="75" t="s">
        <v>872</v>
      </c>
      <c r="D15" s="75" t="s">
        <v>163</v>
      </c>
      <c r="E15" s="72" t="s">
        <v>873</v>
      </c>
      <c r="F15" s="76">
        <v>83880812</v>
      </c>
      <c r="G15" s="71" t="s">
        <v>874</v>
      </c>
      <c r="H15" s="75"/>
      <c r="I15" s="75"/>
      <c r="J15" s="75"/>
      <c r="K15" s="75"/>
      <c r="L15" s="75"/>
      <c r="M15" s="8"/>
      <c r="N15" s="8"/>
      <c r="O15" s="8"/>
      <c r="P15" s="9"/>
    </row>
    <row r="16" spans="2:16">
      <c r="B16" s="69">
        <v>7</v>
      </c>
      <c r="C16" s="71" t="s">
        <v>875</v>
      </c>
      <c r="D16" s="71" t="s">
        <v>183</v>
      </c>
      <c r="E16" s="72" t="s">
        <v>876</v>
      </c>
      <c r="F16" s="73">
        <v>97784232</v>
      </c>
      <c r="G16" s="71" t="s">
        <v>877</v>
      </c>
      <c r="H16" s="71" t="s">
        <v>25</v>
      </c>
      <c r="I16" s="71" t="s">
        <v>855</v>
      </c>
      <c r="J16" s="71"/>
      <c r="K16" s="71"/>
      <c r="L16" s="71"/>
      <c r="M16" s="2" t="s">
        <v>67</v>
      </c>
      <c r="N16" s="2"/>
      <c r="O16" s="2"/>
      <c r="P16" s="7"/>
    </row>
    <row r="17" spans="2:16">
      <c r="B17" s="69">
        <v>8</v>
      </c>
      <c r="C17" s="70" t="s">
        <v>878</v>
      </c>
      <c r="D17" s="71" t="s">
        <v>163</v>
      </c>
      <c r="E17" s="72" t="s">
        <v>879</v>
      </c>
      <c r="F17" s="73">
        <v>90182987</v>
      </c>
      <c r="G17" s="71" t="s">
        <v>880</v>
      </c>
      <c r="H17" s="71"/>
      <c r="I17" s="71"/>
      <c r="J17" s="71"/>
      <c r="K17" s="71"/>
      <c r="L17" s="71"/>
      <c r="M17" s="2"/>
      <c r="N17" s="2" t="s">
        <v>881</v>
      </c>
      <c r="O17" s="2"/>
      <c r="P17" s="7"/>
    </row>
    <row r="18" spans="2:16">
      <c r="B18" s="69">
        <v>9</v>
      </c>
      <c r="C18" s="71" t="s">
        <v>882</v>
      </c>
      <c r="D18" s="71" t="s">
        <v>163</v>
      </c>
      <c r="E18" s="72" t="s">
        <v>883</v>
      </c>
      <c r="F18" s="73">
        <v>91159374</v>
      </c>
      <c r="G18" s="71" t="s">
        <v>884</v>
      </c>
      <c r="H18" s="71" t="s">
        <v>25</v>
      </c>
      <c r="I18" s="71" t="s">
        <v>855</v>
      </c>
      <c r="J18" s="71"/>
      <c r="K18" s="71"/>
      <c r="L18" s="71" t="s">
        <v>856</v>
      </c>
      <c r="M18" s="2" t="s">
        <v>67</v>
      </c>
      <c r="N18" s="2"/>
      <c r="O18" s="2"/>
      <c r="P18" s="7"/>
    </row>
    <row r="19" spans="2:16">
      <c r="B19" s="69">
        <v>10</v>
      </c>
      <c r="C19" s="71" t="s">
        <v>885</v>
      </c>
      <c r="D19" s="71" t="s">
        <v>163</v>
      </c>
      <c r="E19" s="72" t="s">
        <v>886</v>
      </c>
      <c r="F19" s="73">
        <v>97482448</v>
      </c>
      <c r="G19" s="71" t="s">
        <v>887</v>
      </c>
      <c r="H19" s="71" t="s">
        <v>25</v>
      </c>
      <c r="I19" s="71" t="s">
        <v>855</v>
      </c>
      <c r="J19" s="71"/>
      <c r="K19" s="71"/>
      <c r="L19" s="71" t="s">
        <v>856</v>
      </c>
      <c r="M19" s="2" t="s">
        <v>67</v>
      </c>
      <c r="N19" s="2"/>
      <c r="O19" s="2"/>
      <c r="P19" s="7"/>
    </row>
    <row r="20" spans="2:16">
      <c r="B20" s="69">
        <v>11</v>
      </c>
      <c r="C20" s="71" t="s">
        <v>888</v>
      </c>
      <c r="D20" s="71" t="s">
        <v>163</v>
      </c>
      <c r="E20" s="72" t="s">
        <v>889</v>
      </c>
      <c r="F20" s="73">
        <v>87525400</v>
      </c>
      <c r="G20" s="71" t="s">
        <v>890</v>
      </c>
      <c r="H20" s="71" t="s">
        <v>25</v>
      </c>
      <c r="I20" s="71" t="s">
        <v>855</v>
      </c>
      <c r="J20" s="71"/>
      <c r="K20" s="71"/>
      <c r="L20" s="71"/>
      <c r="M20" s="2" t="s">
        <v>67</v>
      </c>
      <c r="N20" s="2"/>
      <c r="O20" s="2"/>
      <c r="P20" s="7"/>
    </row>
    <row r="21" spans="2:16">
      <c r="B21" s="69">
        <v>12</v>
      </c>
      <c r="C21" s="71" t="s">
        <v>891</v>
      </c>
      <c r="D21" s="71" t="s">
        <v>163</v>
      </c>
      <c r="E21" s="72" t="s">
        <v>892</v>
      </c>
      <c r="F21" s="73">
        <v>93675575</v>
      </c>
      <c r="G21" s="71" t="s">
        <v>893</v>
      </c>
      <c r="H21" s="71"/>
      <c r="I21" s="71"/>
      <c r="J21" s="71"/>
      <c r="K21" s="71"/>
      <c r="L21" s="71"/>
      <c r="M21" s="2"/>
      <c r="N21" s="2"/>
      <c r="O21" s="2"/>
      <c r="P21" s="7"/>
    </row>
    <row r="22" spans="2:16">
      <c r="B22" s="69">
        <v>13</v>
      </c>
      <c r="C22" s="70" t="s">
        <v>894</v>
      </c>
      <c r="D22" s="71" t="s">
        <v>163</v>
      </c>
      <c r="E22" s="72" t="s">
        <v>895</v>
      </c>
      <c r="F22" s="73">
        <v>90062776</v>
      </c>
      <c r="G22" s="71" t="s">
        <v>896</v>
      </c>
      <c r="H22" s="71"/>
      <c r="I22" s="71"/>
      <c r="J22" s="71"/>
      <c r="K22" s="71"/>
      <c r="L22" s="71"/>
      <c r="M22" s="2"/>
      <c r="N22" s="2" t="s">
        <v>881</v>
      </c>
      <c r="O22" s="2"/>
      <c r="P22" s="7"/>
    </row>
    <row r="23" spans="2:16">
      <c r="B23" s="69">
        <v>14</v>
      </c>
      <c r="C23" s="71" t="s">
        <v>897</v>
      </c>
      <c r="D23" s="71" t="s">
        <v>163</v>
      </c>
      <c r="E23" s="72" t="s">
        <v>898</v>
      </c>
      <c r="F23" s="73">
        <v>83229305</v>
      </c>
      <c r="G23" s="71" t="s">
        <v>899</v>
      </c>
      <c r="H23" s="71" t="s">
        <v>25</v>
      </c>
      <c r="I23" s="71" t="s">
        <v>855</v>
      </c>
      <c r="J23" s="71"/>
      <c r="K23" s="71"/>
      <c r="L23" s="71"/>
      <c r="M23" s="2" t="s">
        <v>67</v>
      </c>
      <c r="N23" s="2"/>
      <c r="O23" s="2"/>
      <c r="P23" s="7"/>
    </row>
    <row r="24" spans="2:16">
      <c r="B24" s="69">
        <v>15</v>
      </c>
      <c r="C24" s="71" t="s">
        <v>900</v>
      </c>
      <c r="D24" s="71" t="s">
        <v>183</v>
      </c>
      <c r="E24" s="72" t="s">
        <v>901</v>
      </c>
      <c r="F24" s="73">
        <v>81674244</v>
      </c>
      <c r="G24" s="71" t="s">
        <v>902</v>
      </c>
      <c r="H24" s="71"/>
      <c r="I24" s="71"/>
      <c r="J24" s="71"/>
      <c r="K24" s="71"/>
      <c r="L24" s="71"/>
      <c r="M24" s="2"/>
      <c r="N24" s="2"/>
      <c r="O24" s="2"/>
      <c r="P24" s="7"/>
    </row>
    <row r="25" spans="2:16">
      <c r="B25" s="69">
        <v>16</v>
      </c>
      <c r="C25" s="71" t="s">
        <v>903</v>
      </c>
      <c r="D25" s="71" t="s">
        <v>163</v>
      </c>
      <c r="E25" s="72" t="s">
        <v>904</v>
      </c>
      <c r="F25" s="73">
        <v>91771523</v>
      </c>
      <c r="G25" s="71" t="s">
        <v>905</v>
      </c>
      <c r="H25" s="71" t="s">
        <v>25</v>
      </c>
      <c r="I25" s="71" t="s">
        <v>855</v>
      </c>
      <c r="J25" s="71"/>
      <c r="K25" s="71"/>
      <c r="L25" s="71" t="s">
        <v>856</v>
      </c>
      <c r="M25" s="2" t="s">
        <v>75</v>
      </c>
      <c r="N25" s="2" t="s">
        <v>862</v>
      </c>
      <c r="O25" s="2"/>
      <c r="P25" s="7"/>
    </row>
    <row r="26" spans="2:16">
      <c r="B26" s="69">
        <v>17</v>
      </c>
      <c r="C26" s="70" t="s">
        <v>582</v>
      </c>
      <c r="D26" s="71" t="s">
        <v>163</v>
      </c>
      <c r="E26" s="72" t="s">
        <v>906</v>
      </c>
      <c r="F26" s="73">
        <v>97573948</v>
      </c>
      <c r="G26" s="71" t="s">
        <v>583</v>
      </c>
      <c r="H26" s="71" t="s">
        <v>76</v>
      </c>
      <c r="I26" s="71"/>
      <c r="J26" s="71"/>
      <c r="K26" s="71"/>
      <c r="L26" s="71"/>
      <c r="M26" s="2" t="s">
        <v>108</v>
      </c>
      <c r="N26" s="2" t="s">
        <v>907</v>
      </c>
      <c r="O26" s="2"/>
      <c r="P26" s="7"/>
    </row>
    <row r="27" spans="2:16">
      <c r="B27" s="69">
        <v>18</v>
      </c>
      <c r="C27" s="71" t="s">
        <v>908</v>
      </c>
      <c r="D27" s="71" t="s">
        <v>183</v>
      </c>
      <c r="E27" s="72" t="s">
        <v>909</v>
      </c>
      <c r="F27" s="73">
        <v>94570616</v>
      </c>
      <c r="G27" s="71" t="s">
        <v>910</v>
      </c>
      <c r="H27" s="71" t="s">
        <v>25</v>
      </c>
      <c r="I27" s="71" t="s">
        <v>855</v>
      </c>
      <c r="J27" s="71"/>
      <c r="K27" s="71"/>
      <c r="L27" s="71"/>
      <c r="M27" s="2" t="s">
        <v>67</v>
      </c>
      <c r="N27" s="2"/>
      <c r="O27" s="2"/>
      <c r="P27" s="7"/>
    </row>
    <row r="28" spans="2:16">
      <c r="B28" s="69">
        <v>19</v>
      </c>
      <c r="C28" s="70" t="s">
        <v>911</v>
      </c>
      <c r="D28" s="71" t="s">
        <v>163</v>
      </c>
      <c r="E28" s="72" t="s">
        <v>912</v>
      </c>
      <c r="F28" s="73">
        <v>84182816</v>
      </c>
      <c r="G28" s="71" t="s">
        <v>913</v>
      </c>
      <c r="H28" s="71"/>
      <c r="I28" s="71"/>
      <c r="J28" s="71"/>
      <c r="K28" s="71"/>
      <c r="L28" s="71"/>
      <c r="M28" s="2"/>
      <c r="N28" s="2" t="s">
        <v>914</v>
      </c>
      <c r="O28" s="2"/>
      <c r="P28" s="7"/>
    </row>
    <row r="29" spans="2:16">
      <c r="B29" s="69">
        <v>20</v>
      </c>
      <c r="C29" s="71" t="s">
        <v>915</v>
      </c>
      <c r="D29" s="71" t="s">
        <v>183</v>
      </c>
      <c r="E29" s="72" t="s">
        <v>916</v>
      </c>
      <c r="F29" s="73">
        <v>83856795</v>
      </c>
      <c r="G29" s="71" t="s">
        <v>917</v>
      </c>
      <c r="H29" s="71"/>
      <c r="I29" s="71"/>
      <c r="J29" s="71"/>
      <c r="K29" s="71"/>
      <c r="L29" s="71"/>
      <c r="M29" s="2"/>
      <c r="N29" s="2"/>
      <c r="O29" s="2"/>
      <c r="P29" s="7"/>
    </row>
    <row r="30" spans="2:16">
      <c r="B30" s="69">
        <v>21</v>
      </c>
      <c r="C30" s="71" t="s">
        <v>918</v>
      </c>
      <c r="D30" s="71" t="s">
        <v>163</v>
      </c>
      <c r="E30" s="72" t="s">
        <v>919</v>
      </c>
      <c r="F30" s="73">
        <v>96246400</v>
      </c>
      <c r="G30" s="71" t="s">
        <v>920</v>
      </c>
      <c r="H30" s="71"/>
      <c r="I30" s="71"/>
      <c r="J30" s="71"/>
      <c r="K30" s="71"/>
      <c r="L30" s="71"/>
      <c r="M30" s="2"/>
      <c r="N30" s="2"/>
      <c r="O30" s="2"/>
      <c r="P30" s="7"/>
    </row>
    <row r="31" spans="2:16">
      <c r="B31" s="69">
        <v>22</v>
      </c>
      <c r="C31" s="71" t="s">
        <v>921</v>
      </c>
      <c r="D31" s="71" t="s">
        <v>163</v>
      </c>
      <c r="E31" s="72" t="s">
        <v>922</v>
      </c>
      <c r="F31" s="73">
        <v>93374545</v>
      </c>
      <c r="G31" s="71"/>
      <c r="H31" s="71"/>
      <c r="I31" s="71"/>
      <c r="J31" s="71"/>
      <c r="K31" s="71"/>
      <c r="L31" s="71"/>
      <c r="M31" s="2"/>
      <c r="N31" s="2"/>
      <c r="O31" s="2"/>
      <c r="P31" s="7"/>
    </row>
  </sheetData>
  <sheetProtection algorithmName="SHA-512" hashValue="zdvqD6Pv5j4KBTrCGM+KzuY2DGHENeJ3Wgg6H78yBQTZzM2pRgbKNGll+L9Z1JxqjlGgNRvXbZDxtQaZPW7r6A==" saltValue="DlawKJbCfcYQ6mydUO3btg==" spinCount="100000" sheet="1" objects="1" scenarios="1"/>
  <mergeCells count="5">
    <mergeCell ref="D5:L5"/>
    <mergeCell ref="D4:L4"/>
    <mergeCell ref="D6:L6"/>
    <mergeCell ref="D2:L2"/>
    <mergeCell ref="D3:L3"/>
  </mergeCells>
  <conditionalFormatting sqref="M10:M1048576">
    <cfRule type="cellIs" dxfId="419" priority="1" operator="equal">
      <formula>"[AE] Failed Screening Questions"</formula>
    </cfRule>
    <cfRule type="cellIs" dxfId="418" priority="2" operator="equal">
      <formula>"[PE] Failed Interview &amp; Provide Reasons"</formula>
    </cfRule>
    <cfRule type="cellIs" dxfId="417" priority="3" operator="equal">
      <formula>"[PE] Withdrawn"</formula>
    </cfRule>
    <cfRule type="cellIs" dxfId="416" priority="4" operator="equal">
      <formula>"[PE] KIV"</formula>
    </cfRule>
    <cfRule type="containsText" dxfId="415" priority="18" operator="containsText" text="[PE]">
      <formula>NOT(ISERROR(SEARCH("[PE]",M10)))</formula>
    </cfRule>
    <cfRule type="containsText" dxfId="414" priority="19" operator="containsText" text="[AE]">
      <formula>NOT(ISERROR(SEARCH("[AE]",M10)))</formula>
    </cfRule>
  </conditionalFormatting>
  <dataValidations count="3">
    <dataValidation type="list" allowBlank="1" showInputMessage="1" showErrorMessage="1" sqref="D10:D1048576" xr:uid="{00000000-0002-0000-0300-000000000000}">
      <formula1>"Singaporean, SPR"</formula1>
    </dataValidation>
    <dataValidation type="list" allowBlank="1" showInputMessage="1" showErrorMessage="1" sqref="I10:I1048576" xr:uid="{00000000-0002-0000-0300-000001000000}">
      <formula1>"Yes, No"</formula1>
    </dataValidation>
    <dataValidation type="list" allowBlank="1" showInputMessage="1" showErrorMessage="1" sqref="H10:H1048576" xr:uid="{00000000-0002-0000-0300-000002000000}">
      <formula1>"Yan Yee, Edward, Keely, Donny, Ace, Joyce, Amanda, Jaclyn, Charlotte, Jiaxin, Mandy"</formula1>
    </dataValidation>
  </dataValidations>
  <pageMargins left="0.7" right="0.7" top="0.75" bottom="0.75" header="0.3" footer="0.3"/>
  <pageSetup paperSize="9" orientation="portrait" horizontalDpi="4294967295" verticalDpi="4294967295"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3000000}">
          <x14:formula1>
            <xm:f>'Main Page'!$O$3:$O$14</xm:f>
          </x14:formula1>
          <xm:sqref>M10:M1048576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sheetPr>
  <dimension ref="A1:P19"/>
  <sheetViews>
    <sheetView zoomScale="80" zoomScaleNormal="80" workbookViewId="0">
      <pane xSplit="3" topLeftCell="J8" activePane="topRight" state="frozen"/>
      <selection pane="topRight" activeCell="M14" sqref="M14"/>
    </sheetView>
  </sheetViews>
  <sheetFormatPr defaultColWidth="8.7109375" defaultRowHeight="14.45"/>
  <cols>
    <col min="1" max="1" width="5.5703125" style="83" customWidth="1"/>
    <col min="2" max="2" width="5.85546875" style="87" customWidth="1"/>
    <col min="3" max="3" width="21.140625" style="83" bestFit="1" customWidth="1"/>
    <col min="4" max="4" width="15.5703125" style="83" customWidth="1"/>
    <col min="5" max="5" width="25.85546875" style="83" hidden="1" customWidth="1"/>
    <col min="6" max="6" width="16.5703125" style="83" customWidth="1"/>
    <col min="7" max="7" width="49.140625" style="83" hidden="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18.85546875" style="3" customWidth="1"/>
    <col min="14" max="14" width="23.42578125" style="3" customWidth="1"/>
    <col min="15" max="15" width="15.140625" style="3" customWidth="1"/>
    <col min="16" max="16" width="11.42578125" style="3" customWidth="1"/>
    <col min="17" max="16384" width="8.7109375" style="3"/>
  </cols>
  <sheetData>
    <row r="1" spans="2:16" hidden="1">
      <c r="B1" s="83"/>
    </row>
    <row r="2" spans="2:16" ht="84.95" hidden="1" customHeight="1">
      <c r="B2" s="83"/>
      <c r="C2" s="84" t="s">
        <v>843</v>
      </c>
      <c r="D2" s="239" t="s">
        <v>923</v>
      </c>
      <c r="E2" s="239"/>
      <c r="F2" s="239"/>
      <c r="G2" s="239"/>
      <c r="H2" s="239"/>
      <c r="I2" s="239"/>
      <c r="J2" s="239"/>
      <c r="K2" s="239"/>
      <c r="L2" s="239"/>
    </row>
    <row r="3" spans="2:16" hidden="1">
      <c r="B3" s="83"/>
      <c r="C3" s="85" t="s">
        <v>845</v>
      </c>
      <c r="D3" s="241" t="s">
        <v>924</v>
      </c>
      <c r="E3" s="241"/>
      <c r="F3" s="241"/>
      <c r="G3" s="241"/>
      <c r="H3" s="241"/>
      <c r="I3" s="241"/>
      <c r="J3" s="241"/>
      <c r="K3" s="241"/>
      <c r="L3" s="241"/>
    </row>
    <row r="4" spans="2:16" hidden="1">
      <c r="B4" s="83"/>
      <c r="C4" s="85" t="s">
        <v>128</v>
      </c>
      <c r="D4" s="235" t="s">
        <v>846</v>
      </c>
      <c r="E4" s="235"/>
      <c r="F4" s="235"/>
      <c r="G4" s="235"/>
      <c r="H4" s="235"/>
      <c r="I4" s="235"/>
      <c r="J4" s="235"/>
      <c r="K4" s="235"/>
      <c r="L4" s="235"/>
    </row>
    <row r="5" spans="2:16" hidden="1">
      <c r="B5" s="83"/>
      <c r="C5" s="85" t="s">
        <v>5</v>
      </c>
      <c r="D5" s="235" t="s">
        <v>25</v>
      </c>
      <c r="E5" s="235"/>
      <c r="F5" s="235"/>
      <c r="G5" s="235"/>
      <c r="H5" s="235"/>
      <c r="I5" s="235"/>
      <c r="J5" s="235"/>
      <c r="K5" s="235"/>
      <c r="L5" s="235"/>
    </row>
    <row r="6" spans="2:16" hidden="1">
      <c r="B6" s="83"/>
      <c r="C6" s="85" t="s">
        <v>62</v>
      </c>
      <c r="D6" s="236" t="s">
        <v>847</v>
      </c>
      <c r="E6" s="237"/>
      <c r="F6" s="237"/>
      <c r="G6" s="237"/>
      <c r="H6" s="237"/>
      <c r="I6" s="237"/>
      <c r="J6" s="237"/>
      <c r="K6" s="237"/>
      <c r="L6" s="238"/>
    </row>
    <row r="7" spans="2:16" hidden="1">
      <c r="B7" s="83"/>
      <c r="C7" s="86"/>
    </row>
    <row r="8" spans="2:16">
      <c r="B8" s="83"/>
    </row>
    <row r="9" spans="2:16" ht="57.95">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row>
    <row r="10" spans="2:16">
      <c r="B10" s="69">
        <v>1</v>
      </c>
      <c r="C10" s="71" t="s">
        <v>926</v>
      </c>
      <c r="D10" s="71" t="s">
        <v>183</v>
      </c>
      <c r="E10" s="72" t="s">
        <v>927</v>
      </c>
      <c r="F10" s="73">
        <v>86567590</v>
      </c>
      <c r="G10" s="73" t="s">
        <v>928</v>
      </c>
      <c r="H10" s="71"/>
      <c r="I10" s="71"/>
      <c r="J10" s="71"/>
      <c r="K10" s="71"/>
      <c r="L10" s="71"/>
      <c r="M10" s="2"/>
      <c r="N10" s="2" t="s">
        <v>0</v>
      </c>
      <c r="O10" s="2"/>
      <c r="P10" s="7"/>
    </row>
    <row r="11" spans="2:16">
      <c r="B11" s="69">
        <v>2</v>
      </c>
      <c r="C11" s="71" t="s">
        <v>929</v>
      </c>
      <c r="D11" s="71" t="s">
        <v>163</v>
      </c>
      <c r="E11" s="72" t="s">
        <v>930</v>
      </c>
      <c r="F11" s="73">
        <v>92339102</v>
      </c>
      <c r="G11" s="73" t="s">
        <v>931</v>
      </c>
      <c r="H11" s="71" t="s">
        <v>76</v>
      </c>
      <c r="I11" s="71" t="s">
        <v>855</v>
      </c>
      <c r="J11" s="71" t="s">
        <v>932</v>
      </c>
      <c r="K11" s="71" t="s">
        <v>933</v>
      </c>
      <c r="L11" s="71" t="s">
        <v>934</v>
      </c>
      <c r="M11" s="2" t="s">
        <v>89</v>
      </c>
      <c r="N11" s="2" t="s">
        <v>935</v>
      </c>
      <c r="O11" s="2" t="s">
        <v>936</v>
      </c>
      <c r="P11" s="7"/>
    </row>
    <row r="12" spans="2:16">
      <c r="B12" s="69">
        <v>3</v>
      </c>
      <c r="C12" s="71" t="s">
        <v>937</v>
      </c>
      <c r="D12" s="71" t="s">
        <v>163</v>
      </c>
      <c r="E12" s="72" t="s">
        <v>938</v>
      </c>
      <c r="F12" s="73">
        <v>97294554</v>
      </c>
      <c r="G12" s="73" t="s">
        <v>939</v>
      </c>
      <c r="H12" s="71" t="s">
        <v>76</v>
      </c>
      <c r="I12" s="71" t="s">
        <v>855</v>
      </c>
      <c r="J12" s="71" t="s">
        <v>940</v>
      </c>
      <c r="K12" s="71" t="s">
        <v>941</v>
      </c>
      <c r="L12" s="71" t="s">
        <v>942</v>
      </c>
      <c r="M12" s="2" t="s">
        <v>86</v>
      </c>
      <c r="N12" s="2" t="s">
        <v>943</v>
      </c>
      <c r="O12" s="2"/>
      <c r="P12" s="7"/>
    </row>
    <row r="13" spans="2:16">
      <c r="B13" s="69">
        <v>4</v>
      </c>
      <c r="C13" s="71" t="s">
        <v>944</v>
      </c>
      <c r="D13" s="71" t="s">
        <v>163</v>
      </c>
      <c r="E13" s="72" t="s">
        <v>945</v>
      </c>
      <c r="F13" s="73">
        <v>96888029</v>
      </c>
      <c r="G13" s="73" t="s">
        <v>946</v>
      </c>
      <c r="H13" s="71"/>
      <c r="I13" s="71"/>
      <c r="J13" s="71"/>
      <c r="K13" s="71"/>
      <c r="L13" s="71"/>
      <c r="M13" s="2" t="s">
        <v>83</v>
      </c>
      <c r="N13" s="2" t="s">
        <v>947</v>
      </c>
      <c r="O13" s="2"/>
      <c r="P13" s="7"/>
    </row>
    <row r="14" spans="2:16">
      <c r="B14" s="69">
        <v>5</v>
      </c>
      <c r="C14" s="71" t="s">
        <v>948</v>
      </c>
      <c r="D14" s="71" t="s">
        <v>163</v>
      </c>
      <c r="E14" s="72" t="s">
        <v>949</v>
      </c>
      <c r="F14" s="73">
        <v>81252291</v>
      </c>
      <c r="G14" s="73" t="s">
        <v>950</v>
      </c>
      <c r="H14" s="71" t="s">
        <v>76</v>
      </c>
      <c r="I14" s="71" t="s">
        <v>951</v>
      </c>
      <c r="J14" s="71" t="s">
        <v>940</v>
      </c>
      <c r="K14" s="71"/>
      <c r="L14" s="71"/>
      <c r="M14" s="2" t="s">
        <v>108</v>
      </c>
      <c r="N14" s="2" t="s">
        <v>952</v>
      </c>
      <c r="O14" s="2"/>
      <c r="P14" s="7"/>
    </row>
    <row r="15" spans="2:16">
      <c r="B15" s="69">
        <v>6</v>
      </c>
      <c r="C15" s="75" t="s">
        <v>953</v>
      </c>
      <c r="D15" s="75" t="s">
        <v>163</v>
      </c>
      <c r="E15" s="72" t="s">
        <v>954</v>
      </c>
      <c r="F15" s="76">
        <v>93754042</v>
      </c>
      <c r="G15" s="73" t="s">
        <v>955</v>
      </c>
      <c r="H15" s="71" t="s">
        <v>76</v>
      </c>
      <c r="I15" s="71" t="s">
        <v>855</v>
      </c>
      <c r="J15" s="71" t="s">
        <v>956</v>
      </c>
      <c r="K15" s="71" t="s">
        <v>957</v>
      </c>
      <c r="L15" s="71" t="s">
        <v>639</v>
      </c>
      <c r="M15" s="2" t="s">
        <v>86</v>
      </c>
      <c r="N15" s="2" t="s">
        <v>958</v>
      </c>
      <c r="O15" s="8"/>
      <c r="P15" s="9"/>
    </row>
    <row r="16" spans="2:16">
      <c r="B16" s="69">
        <v>7</v>
      </c>
      <c r="C16" s="71" t="s">
        <v>959</v>
      </c>
      <c r="D16" s="71" t="s">
        <v>163</v>
      </c>
      <c r="E16" s="72" t="s">
        <v>960</v>
      </c>
      <c r="F16" s="73">
        <v>83334733</v>
      </c>
      <c r="G16" s="73" t="s">
        <v>961</v>
      </c>
      <c r="H16" s="71" t="s">
        <v>76</v>
      </c>
      <c r="I16" s="71" t="s">
        <v>855</v>
      </c>
      <c r="J16" s="71"/>
      <c r="K16" s="71"/>
      <c r="L16" s="71"/>
      <c r="M16" s="2" t="s">
        <v>108</v>
      </c>
      <c r="N16" s="2" t="s">
        <v>962</v>
      </c>
      <c r="O16" s="2"/>
      <c r="P16" s="7"/>
    </row>
    <row r="17" spans="2:16">
      <c r="B17" s="69">
        <v>8</v>
      </c>
      <c r="C17" s="70" t="s">
        <v>963</v>
      </c>
      <c r="D17" s="71" t="s">
        <v>163</v>
      </c>
      <c r="E17" s="72" t="s">
        <v>964</v>
      </c>
      <c r="F17" s="73">
        <v>94336288</v>
      </c>
      <c r="G17" s="73" t="s">
        <v>965</v>
      </c>
      <c r="H17" s="71"/>
      <c r="I17" s="71"/>
      <c r="J17" s="71"/>
      <c r="K17" s="71"/>
      <c r="L17" s="71"/>
      <c r="M17" s="2"/>
      <c r="N17" s="2" t="s">
        <v>966</v>
      </c>
      <c r="O17" s="2"/>
      <c r="P17" s="7"/>
    </row>
    <row r="18" spans="2:16">
      <c r="B18" s="69">
        <v>9</v>
      </c>
      <c r="C18" s="71" t="s">
        <v>967</v>
      </c>
      <c r="D18" s="71" t="s">
        <v>163</v>
      </c>
      <c r="E18" s="72" t="s">
        <v>968</v>
      </c>
      <c r="F18" s="73">
        <v>91292616</v>
      </c>
      <c r="G18" s="73" t="s">
        <v>969</v>
      </c>
      <c r="H18" s="71" t="s">
        <v>76</v>
      </c>
      <c r="I18" s="71" t="s">
        <v>855</v>
      </c>
      <c r="J18" s="71" t="s">
        <v>970</v>
      </c>
      <c r="K18" s="71" t="s">
        <v>971</v>
      </c>
      <c r="L18" s="71" t="s">
        <v>234</v>
      </c>
      <c r="M18" s="2" t="s">
        <v>89</v>
      </c>
      <c r="N18" s="2" t="s">
        <v>972</v>
      </c>
      <c r="O18" s="2" t="s">
        <v>973</v>
      </c>
      <c r="P18" s="7"/>
    </row>
    <row r="19" spans="2:16">
      <c r="B19" s="69">
        <v>10</v>
      </c>
      <c r="C19" s="71" t="s">
        <v>974</v>
      </c>
      <c r="D19" s="71" t="s">
        <v>163</v>
      </c>
      <c r="E19" s="72" t="s">
        <v>975</v>
      </c>
      <c r="F19" s="73">
        <v>92314944</v>
      </c>
      <c r="G19" s="73" t="s">
        <v>976</v>
      </c>
      <c r="H19" s="71"/>
      <c r="I19" s="71"/>
      <c r="J19" s="71"/>
      <c r="K19" s="71"/>
      <c r="L19" s="71"/>
      <c r="M19" s="2"/>
      <c r="N19" s="2" t="s">
        <v>0</v>
      </c>
      <c r="O19" s="2"/>
      <c r="P19" s="7"/>
    </row>
  </sheetData>
  <sheetProtection algorithmName="SHA-512" hashValue="mg4pOAJ6tR5LsspWYvDPjhdZAgohA2fQwGL+vg71X2CzKU3qK81CLJLS6VCa3ToT0uscqFF2L6WKTjLIHNzVqg==" saltValue="zlQz5fV1uWXuw5lF3GO6sg==" spinCount="100000" sheet="1" objects="1" scenarios="1"/>
  <mergeCells count="5">
    <mergeCell ref="D2:L2"/>
    <mergeCell ref="D3:L3"/>
    <mergeCell ref="D4:L4"/>
    <mergeCell ref="D5:L5"/>
    <mergeCell ref="D6:L6"/>
  </mergeCells>
  <conditionalFormatting sqref="M20:M1048576">
    <cfRule type="containsText" dxfId="393" priority="10" operator="containsText" text="[PE]">
      <formula>NOT(ISERROR(SEARCH("[PE]",M20)))</formula>
    </cfRule>
    <cfRule type="containsText" dxfId="392" priority="11" operator="containsText" text="[AE]">
      <formula>NOT(ISERROR(SEARCH("[AE]",M20)))</formula>
    </cfRule>
  </conditionalFormatting>
  <conditionalFormatting sqref="M10:M19">
    <cfRule type="containsText" dxfId="391" priority="5" operator="containsText" text="[PE]">
      <formula>NOT(ISERROR(SEARCH("[PE]",M10)))</formula>
    </cfRule>
    <cfRule type="containsText" dxfId="390" priority="6" operator="containsText" text="[AE]">
      <formula>NOT(ISERROR(SEARCH("[AE]",M10)))</formula>
    </cfRule>
  </conditionalFormatting>
  <conditionalFormatting sqref="M10:M1048576">
    <cfRule type="cellIs" dxfId="389" priority="1" operator="equal">
      <formula>"[AE] Failed Screening Questions"</formula>
    </cfRule>
    <cfRule type="cellIs" dxfId="388" priority="2" operator="equal">
      <formula>"[AE] Failed Interview &amp; Provide Reasons"</formula>
    </cfRule>
    <cfRule type="cellIs" dxfId="387" priority="3" operator="equal">
      <formula>"[PE] Withdrawn"</formula>
    </cfRule>
    <cfRule type="cellIs" dxfId="386" priority="4" operator="equal">
      <formula>"[PE] KIV"</formula>
    </cfRule>
  </conditionalFormatting>
  <dataValidations count="3">
    <dataValidation type="list" allowBlank="1" showInputMessage="1" showErrorMessage="1" sqref="D10:D1048576 E11:E19" xr:uid="{00000000-0002-0000-0400-000000000000}">
      <formula1>"Singaporean, SPR"</formula1>
    </dataValidation>
    <dataValidation type="list" allowBlank="1" showInputMessage="1" showErrorMessage="1" sqref="I10:I1048576" xr:uid="{00000000-0002-0000-0400-000001000000}">
      <formula1>"Yes, No"</formula1>
    </dataValidation>
    <dataValidation type="list" allowBlank="1" showInputMessage="1" showErrorMessage="1" sqref="H10:H1048576" xr:uid="{00000000-0002-0000-0400-000002000000}">
      <formula1>"Yan Yee, Edward, Keely, Donny, Ace, Joyce, Amanda, Jaclyn, Charlotte, Jiaxin, Mandy"</formula1>
    </dataValidation>
  </dataValidations>
  <hyperlinks>
    <hyperlink ref="D3" r:id="rId1" xr:uid="{00000000-0004-0000-0400-000000000000}"/>
  </hyperlinks>
  <pageMargins left="0.7" right="0.7" top="0.75" bottom="0.75" header="0.3" footer="0.3"/>
  <pageSetup paperSize="9" orientation="portrait" horizontalDpi="4294967295" verticalDpi="4294967295"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3000000}">
          <x14:formula1>
            <xm:f>'Main Page'!$O$3:$O$14</xm:f>
          </x14:formula1>
          <xm:sqref>M10:M1048576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249977111117893"/>
  </sheetPr>
  <dimension ref="A1:P15"/>
  <sheetViews>
    <sheetView zoomScale="80" zoomScaleNormal="80" workbookViewId="0">
      <pane xSplit="3" topLeftCell="D1" activePane="topRight" state="frozen"/>
      <selection pane="topRight" activeCell="A7" sqref="A1:XFD7"/>
    </sheetView>
  </sheetViews>
  <sheetFormatPr defaultColWidth="8.7109375" defaultRowHeight="14.45"/>
  <cols>
    <col min="1" max="1" width="5.5703125" style="83" customWidth="1"/>
    <col min="2" max="2" width="5.85546875" style="87" customWidth="1"/>
    <col min="3" max="3" width="33.85546875" style="83" bestFit="1" customWidth="1"/>
    <col min="4" max="4" width="15.5703125" style="83" customWidth="1"/>
    <col min="5" max="6" width="16.5703125" style="83" customWidth="1"/>
    <col min="7" max="7" width="51.85546875" style="83" hidden="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18.85546875" style="3" customWidth="1"/>
    <col min="14" max="14" width="43.5703125" style="3" customWidth="1"/>
    <col min="15" max="15" width="15.140625" style="3" customWidth="1"/>
    <col min="16" max="16" width="11.42578125" style="3" customWidth="1"/>
    <col min="17" max="16384" width="8.7109375" style="3"/>
  </cols>
  <sheetData>
    <row r="1" spans="2:16" hidden="1">
      <c r="B1" s="83"/>
    </row>
    <row r="2" spans="2:16" ht="75" hidden="1" customHeight="1">
      <c r="B2" s="83"/>
      <c r="C2" s="84" t="s">
        <v>843</v>
      </c>
      <c r="D2" s="242" t="s">
        <v>977</v>
      </c>
      <c r="E2" s="242"/>
      <c r="F2" s="239"/>
      <c r="G2" s="239"/>
      <c r="H2" s="239"/>
      <c r="I2" s="239"/>
      <c r="J2" s="239"/>
      <c r="K2" s="239"/>
      <c r="L2" s="239"/>
    </row>
    <row r="3" spans="2:16" hidden="1">
      <c r="B3" s="83"/>
      <c r="C3" s="85" t="s">
        <v>845</v>
      </c>
      <c r="D3" s="241" t="s">
        <v>978</v>
      </c>
      <c r="E3" s="241"/>
      <c r="F3" s="241"/>
      <c r="G3" s="241"/>
      <c r="H3" s="241"/>
      <c r="I3" s="241"/>
      <c r="J3" s="241"/>
      <c r="K3" s="241"/>
      <c r="L3" s="241"/>
    </row>
    <row r="4" spans="2:16" hidden="1">
      <c r="B4" s="83"/>
      <c r="C4" s="85" t="s">
        <v>128</v>
      </c>
      <c r="D4" s="235" t="s">
        <v>979</v>
      </c>
      <c r="E4" s="235"/>
      <c r="F4" s="235"/>
      <c r="G4" s="235"/>
      <c r="H4" s="235"/>
      <c r="I4" s="235"/>
      <c r="J4" s="235"/>
      <c r="K4" s="235"/>
      <c r="L4" s="235"/>
    </row>
    <row r="5" spans="2:16" hidden="1">
      <c r="B5" s="83"/>
      <c r="C5" s="85" t="s">
        <v>5</v>
      </c>
      <c r="D5" s="235" t="s">
        <v>30</v>
      </c>
      <c r="E5" s="235"/>
      <c r="F5" s="235"/>
      <c r="G5" s="235"/>
      <c r="H5" s="235"/>
      <c r="I5" s="235"/>
      <c r="J5" s="235"/>
      <c r="K5" s="235"/>
      <c r="L5" s="235"/>
    </row>
    <row r="6" spans="2:16" hidden="1">
      <c r="B6" s="83"/>
      <c r="C6" s="85" t="s">
        <v>62</v>
      </c>
      <c r="D6" s="236" t="s">
        <v>980</v>
      </c>
      <c r="E6" s="237"/>
      <c r="F6" s="237"/>
      <c r="G6" s="237"/>
      <c r="H6" s="237"/>
      <c r="I6" s="237"/>
      <c r="J6" s="237"/>
      <c r="K6" s="237"/>
      <c r="L6" s="238"/>
    </row>
    <row r="7" spans="2:16" hidden="1">
      <c r="B7" s="83"/>
      <c r="C7" s="86"/>
    </row>
    <row r="8" spans="2:16">
      <c r="B8" s="83"/>
    </row>
    <row r="9" spans="2:16" ht="57.95">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row>
    <row r="10" spans="2:16">
      <c r="B10" s="69">
        <v>1</v>
      </c>
      <c r="C10" s="97" t="s">
        <v>981</v>
      </c>
      <c r="D10" s="71" t="s">
        <v>163</v>
      </c>
      <c r="E10" s="72" t="s">
        <v>982</v>
      </c>
      <c r="F10" s="73">
        <v>94245276</v>
      </c>
      <c r="G10" s="91"/>
      <c r="H10" s="94" t="s">
        <v>30</v>
      </c>
      <c r="I10" s="71"/>
      <c r="J10" s="71"/>
      <c r="K10" s="71"/>
      <c r="L10" s="71"/>
      <c r="M10" s="2"/>
      <c r="N10" s="54"/>
      <c r="O10" s="2"/>
      <c r="P10" s="7"/>
    </row>
    <row r="11" spans="2:16">
      <c r="B11" s="69">
        <v>2</v>
      </c>
      <c r="C11" s="71" t="s">
        <v>983</v>
      </c>
      <c r="D11" s="71" t="s">
        <v>163</v>
      </c>
      <c r="E11" s="72" t="s">
        <v>984</v>
      </c>
      <c r="F11" s="73">
        <v>92705215</v>
      </c>
      <c r="G11" s="91" t="s">
        <v>985</v>
      </c>
      <c r="H11" s="94" t="s">
        <v>30</v>
      </c>
      <c r="I11" s="71" t="s">
        <v>855</v>
      </c>
      <c r="J11" s="73">
        <v>2900</v>
      </c>
      <c r="K11" s="73">
        <v>2900</v>
      </c>
      <c r="L11" s="73" t="s">
        <v>986</v>
      </c>
      <c r="M11" s="55" t="s">
        <v>75</v>
      </c>
      <c r="N11" s="55" t="s">
        <v>987</v>
      </c>
      <c r="O11" s="2"/>
      <c r="P11" s="7"/>
    </row>
    <row r="12" spans="2:16">
      <c r="B12" s="69">
        <v>3</v>
      </c>
      <c r="C12" s="71" t="s">
        <v>988</v>
      </c>
      <c r="D12" s="71" t="s">
        <v>163</v>
      </c>
      <c r="E12" s="72" t="s">
        <v>989</v>
      </c>
      <c r="F12" s="73">
        <v>91131441</v>
      </c>
      <c r="G12" s="91" t="s">
        <v>990</v>
      </c>
      <c r="H12" s="94" t="s">
        <v>30</v>
      </c>
      <c r="I12" s="71" t="s">
        <v>855</v>
      </c>
      <c r="J12" s="73">
        <v>8650</v>
      </c>
      <c r="K12" s="73" t="s">
        <v>991</v>
      </c>
      <c r="L12" s="73" t="s">
        <v>234</v>
      </c>
      <c r="M12" s="55" t="s">
        <v>75</v>
      </c>
      <c r="N12" s="55" t="s">
        <v>987</v>
      </c>
      <c r="O12" s="2"/>
      <c r="P12" s="7"/>
    </row>
    <row r="13" spans="2:16">
      <c r="B13" s="69">
        <v>4</v>
      </c>
      <c r="C13" s="71" t="s">
        <v>992</v>
      </c>
      <c r="D13" s="71" t="s">
        <v>163</v>
      </c>
      <c r="E13" s="72" t="s">
        <v>993</v>
      </c>
      <c r="F13" s="73">
        <v>90252625</v>
      </c>
      <c r="G13" s="91" t="s">
        <v>994</v>
      </c>
      <c r="H13" s="94" t="s">
        <v>118</v>
      </c>
      <c r="I13" s="71" t="s">
        <v>855</v>
      </c>
      <c r="J13" s="104">
        <v>7400</v>
      </c>
      <c r="K13" s="73" t="s">
        <v>995</v>
      </c>
      <c r="L13" s="73" t="s">
        <v>234</v>
      </c>
      <c r="M13" s="55" t="s">
        <v>86</v>
      </c>
      <c r="N13" s="55" t="s">
        <v>996</v>
      </c>
      <c r="O13" s="2"/>
      <c r="P13" s="7"/>
    </row>
    <row r="14" spans="2:16">
      <c r="B14" s="69">
        <v>5</v>
      </c>
      <c r="C14" s="97" t="s">
        <v>997</v>
      </c>
      <c r="D14" s="71" t="s">
        <v>163</v>
      </c>
      <c r="E14" s="72" t="s">
        <v>998</v>
      </c>
      <c r="F14" s="73">
        <v>93889162</v>
      </c>
      <c r="G14" s="91" t="s">
        <v>999</v>
      </c>
      <c r="H14" s="94" t="s">
        <v>30</v>
      </c>
      <c r="I14" s="71"/>
      <c r="J14" s="71"/>
      <c r="K14" s="71"/>
      <c r="L14" s="71"/>
      <c r="M14" s="2"/>
      <c r="N14" s="54"/>
      <c r="O14" s="2"/>
      <c r="P14" s="7"/>
    </row>
    <row r="15" spans="2:16">
      <c r="B15" s="69">
        <v>6</v>
      </c>
      <c r="C15" s="75" t="s">
        <v>1000</v>
      </c>
      <c r="D15" s="71" t="s">
        <v>163</v>
      </c>
      <c r="E15" s="72" t="s">
        <v>1001</v>
      </c>
      <c r="F15" s="76">
        <v>84496397</v>
      </c>
      <c r="G15" s="73" t="s">
        <v>1002</v>
      </c>
      <c r="H15" s="94"/>
      <c r="I15" s="75"/>
      <c r="J15" s="75"/>
      <c r="K15" s="75"/>
      <c r="L15" s="75"/>
      <c r="M15" s="8"/>
      <c r="N15" s="8"/>
      <c r="O15" s="8"/>
      <c r="P15" s="9"/>
    </row>
  </sheetData>
  <sheetProtection algorithmName="SHA-512" hashValue="qMgkXzeZDdpJLYxBTfmxLkb+TesUdj4qiykcaWWwu3XvtBqhbTCjtpv+QUynlmcm+h/e80NdBKPdSyu3mjIbYg==" saltValue="Gok9FVrVKkP3/dvRn1T8jA==" spinCount="100000" sheet="1" objects="1" scenarios="1"/>
  <mergeCells count="5">
    <mergeCell ref="D2:L2"/>
    <mergeCell ref="D3:L3"/>
    <mergeCell ref="D4:L4"/>
    <mergeCell ref="D5:L5"/>
    <mergeCell ref="D6:L6"/>
  </mergeCells>
  <conditionalFormatting sqref="M10:M1048576">
    <cfRule type="cellIs" dxfId="365" priority="1" operator="equal">
      <formula>"[AE] Failed Screening Questions"</formula>
    </cfRule>
    <cfRule type="cellIs" dxfId="364" priority="2" operator="equal">
      <formula>"[AE] Failed Interview &amp; Provide Reasons"</formula>
    </cfRule>
    <cfRule type="cellIs" dxfId="363" priority="3" operator="equal">
      <formula>"[PE] Withdrawn"</formula>
    </cfRule>
    <cfRule type="cellIs" dxfId="362" priority="4" operator="equal">
      <formula>"[PE] KIV"</formula>
    </cfRule>
    <cfRule type="containsText" dxfId="361" priority="11" operator="containsText" text="[PE]">
      <formula>NOT(ISERROR(SEARCH("[PE]",M10)))</formula>
    </cfRule>
    <cfRule type="containsText" dxfId="360" priority="12" operator="containsText" text="[AE]">
      <formula>NOT(ISERROR(SEARCH("[AE]",M10)))</formula>
    </cfRule>
  </conditionalFormatting>
  <dataValidations count="4">
    <dataValidation type="list" allowBlank="1" showInputMessage="1" showErrorMessage="1" sqref="H16:H1048576" xr:uid="{00000000-0002-0000-0500-000000000000}">
      <formula1>"Yan Yee, Edward, Keely, Donny, Ace, Joyce, Amanda, Jaclyn, Charlotte, Jiaxin, Mandy"</formula1>
    </dataValidation>
    <dataValidation type="list" allowBlank="1" showInputMessage="1" showErrorMessage="1" sqref="H10:H15" xr:uid="{00000000-0002-0000-0500-000001000000}">
      <formula1>"Yan Yee, Edward, Keely, Donny, Denise, Ace, Joyce, Amanda, Jaclyn, Charlotte, Jiaxin, Mandy"</formula1>
    </dataValidation>
    <dataValidation type="list" allowBlank="1" showInputMessage="1" showErrorMessage="1" sqref="D10:D1048576" xr:uid="{00000000-0002-0000-0500-000002000000}">
      <formula1>"Singaporean, SPR"</formula1>
    </dataValidation>
    <dataValidation type="list" allowBlank="1" showInputMessage="1" showErrorMessage="1" sqref="I10:I1048576" xr:uid="{00000000-0002-0000-0500-000003000000}">
      <formula1>"Yes, No"</formula1>
    </dataValidation>
  </dataValidations>
  <hyperlinks>
    <hyperlink ref="D3" r:id="rId1" xr:uid="{00000000-0004-0000-0500-000000000000}"/>
  </hyperlinks>
  <pageMargins left="0.7" right="0.7" top="0.75" bottom="0.75" header="0.3" footer="0.3"/>
  <pageSetup paperSize="9" orientation="portrait" horizontalDpi="4294967295" verticalDpi="4294967295"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4000000}">
          <x14:formula1>
            <xm:f>'Main Page'!$O$3:$O$14</xm:f>
          </x14:formula1>
          <xm:sqref>M10:M1048576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249977111117893"/>
  </sheetPr>
  <dimension ref="A1:P13"/>
  <sheetViews>
    <sheetView zoomScale="80" zoomScaleNormal="80" workbookViewId="0">
      <pane xSplit="3" topLeftCell="D8" activePane="topRight" state="frozen"/>
      <selection pane="topRight"/>
    </sheetView>
  </sheetViews>
  <sheetFormatPr defaultColWidth="8.7109375" defaultRowHeight="14.45"/>
  <cols>
    <col min="1" max="1" width="5.5703125" style="83" customWidth="1"/>
    <col min="2" max="2" width="5.85546875" style="87" customWidth="1"/>
    <col min="3" max="3" width="38.5703125" style="83" bestFit="1" customWidth="1"/>
    <col min="4" max="4" width="15.5703125" style="83" customWidth="1"/>
    <col min="5" max="5" width="25.85546875" style="83" hidden="1" customWidth="1"/>
    <col min="6" max="6" width="16.5703125" style="83" customWidth="1"/>
    <col min="7" max="7" width="45.85546875" style="83" hidden="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18.85546875" style="3" customWidth="1"/>
    <col min="14" max="14" width="23.42578125" style="3" customWidth="1"/>
    <col min="15" max="15" width="15.140625" style="3" customWidth="1"/>
    <col min="16" max="16" width="11.42578125" style="3" customWidth="1"/>
    <col min="17" max="16384" width="8.7109375" style="3"/>
  </cols>
  <sheetData>
    <row r="1" spans="2:16" hidden="1">
      <c r="B1" s="83"/>
    </row>
    <row r="2" spans="2:16" ht="30" hidden="1" customHeight="1">
      <c r="B2" s="83"/>
      <c r="C2" s="84" t="s">
        <v>843</v>
      </c>
      <c r="D2" s="242" t="s">
        <v>1003</v>
      </c>
      <c r="E2" s="242"/>
      <c r="F2" s="239"/>
      <c r="G2" s="239"/>
      <c r="H2" s="239"/>
      <c r="I2" s="239"/>
      <c r="J2" s="239"/>
      <c r="K2" s="239"/>
      <c r="L2" s="239"/>
    </row>
    <row r="3" spans="2:16" hidden="1">
      <c r="B3" s="83"/>
      <c r="C3" s="85" t="s">
        <v>845</v>
      </c>
      <c r="D3" s="241" t="s">
        <v>1004</v>
      </c>
      <c r="E3" s="241"/>
      <c r="F3" s="241"/>
      <c r="G3" s="241"/>
      <c r="H3" s="241"/>
      <c r="I3" s="241"/>
      <c r="J3" s="241"/>
      <c r="K3" s="241"/>
      <c r="L3" s="241"/>
    </row>
    <row r="4" spans="2:16" hidden="1">
      <c r="B4" s="83"/>
      <c r="C4" s="85" t="s">
        <v>128</v>
      </c>
      <c r="D4" s="235" t="s">
        <v>1005</v>
      </c>
      <c r="E4" s="235"/>
      <c r="F4" s="235"/>
      <c r="G4" s="235"/>
      <c r="H4" s="235"/>
      <c r="I4" s="235"/>
      <c r="J4" s="235"/>
      <c r="K4" s="235"/>
      <c r="L4" s="235"/>
    </row>
    <row r="5" spans="2:16" hidden="1">
      <c r="B5" s="83"/>
      <c r="C5" s="85" t="s">
        <v>5</v>
      </c>
      <c r="D5" s="235" t="s">
        <v>32</v>
      </c>
      <c r="E5" s="235"/>
      <c r="F5" s="235"/>
      <c r="G5" s="235"/>
      <c r="H5" s="235"/>
      <c r="I5" s="235"/>
      <c r="J5" s="235"/>
      <c r="K5" s="235"/>
      <c r="L5" s="235"/>
    </row>
    <row r="6" spans="2:16" hidden="1">
      <c r="B6" s="83"/>
      <c r="C6" s="85" t="s">
        <v>62</v>
      </c>
      <c r="D6" s="236" t="s">
        <v>32</v>
      </c>
      <c r="E6" s="237"/>
      <c r="F6" s="237"/>
      <c r="G6" s="237"/>
      <c r="H6" s="237"/>
      <c r="I6" s="237"/>
      <c r="J6" s="237"/>
      <c r="K6" s="237"/>
      <c r="L6" s="238"/>
    </row>
    <row r="7" spans="2:16" hidden="1">
      <c r="B7" s="83"/>
      <c r="C7" s="86"/>
    </row>
    <row r="8" spans="2:16">
      <c r="B8" s="83"/>
    </row>
    <row r="9" spans="2:16" ht="57.95">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row>
    <row r="10" spans="2:16">
      <c r="B10" s="69">
        <v>1</v>
      </c>
      <c r="C10" s="71" t="s">
        <v>1006</v>
      </c>
      <c r="D10" s="71" t="s">
        <v>163</v>
      </c>
      <c r="E10" s="72" t="s">
        <v>1007</v>
      </c>
      <c r="F10" s="73">
        <v>88911959</v>
      </c>
      <c r="G10" s="73" t="s">
        <v>1008</v>
      </c>
      <c r="H10" s="71" t="s">
        <v>32</v>
      </c>
      <c r="I10" s="71" t="s">
        <v>855</v>
      </c>
      <c r="J10" s="73">
        <v>2600</v>
      </c>
      <c r="K10" s="73">
        <v>3000</v>
      </c>
      <c r="L10" s="73" t="s">
        <v>639</v>
      </c>
      <c r="M10" s="55" t="s">
        <v>75</v>
      </c>
      <c r="N10" s="2"/>
      <c r="O10" s="2"/>
      <c r="P10" s="7"/>
    </row>
    <row r="11" spans="2:16">
      <c r="B11" s="69">
        <v>2</v>
      </c>
      <c r="C11" s="71" t="s">
        <v>1009</v>
      </c>
      <c r="D11" s="71" t="s">
        <v>163</v>
      </c>
      <c r="E11" s="72" t="s">
        <v>1010</v>
      </c>
      <c r="F11" s="73">
        <v>96423430</v>
      </c>
      <c r="G11" s="73" t="s">
        <v>1011</v>
      </c>
      <c r="H11" s="71"/>
      <c r="I11" s="71"/>
      <c r="J11" s="73"/>
      <c r="K11" s="73"/>
      <c r="L11" s="73"/>
      <c r="M11" s="55"/>
      <c r="N11" s="2"/>
      <c r="O11" s="2"/>
      <c r="P11" s="7"/>
    </row>
    <row r="12" spans="2:16">
      <c r="B12" s="69">
        <v>3</v>
      </c>
      <c r="C12" s="71" t="s">
        <v>1012</v>
      </c>
      <c r="D12" s="71" t="s">
        <v>183</v>
      </c>
      <c r="E12" s="72" t="s">
        <v>1013</v>
      </c>
      <c r="F12" s="73">
        <v>96778458</v>
      </c>
      <c r="G12" s="73" t="s">
        <v>1014</v>
      </c>
      <c r="H12" s="71" t="s">
        <v>32</v>
      </c>
      <c r="I12" s="71" t="s">
        <v>855</v>
      </c>
      <c r="J12" s="73">
        <v>7300</v>
      </c>
      <c r="K12" s="73" t="s">
        <v>1015</v>
      </c>
      <c r="L12" s="73" t="s">
        <v>1016</v>
      </c>
      <c r="M12" s="55" t="s">
        <v>75</v>
      </c>
      <c r="N12" s="2"/>
      <c r="O12" s="2"/>
      <c r="P12" s="7"/>
    </row>
    <row r="13" spans="2:16">
      <c r="B13" s="69">
        <v>4</v>
      </c>
      <c r="C13" s="71" t="s">
        <v>1017</v>
      </c>
      <c r="D13" s="71" t="s">
        <v>163</v>
      </c>
      <c r="E13" s="72" t="s">
        <v>1018</v>
      </c>
      <c r="F13" s="73">
        <v>94551537</v>
      </c>
      <c r="G13" s="73" t="s">
        <v>1019</v>
      </c>
      <c r="H13" s="71" t="s">
        <v>32</v>
      </c>
      <c r="I13" s="71" t="s">
        <v>855</v>
      </c>
      <c r="J13" s="73">
        <v>3500</v>
      </c>
      <c r="K13" s="73" t="s">
        <v>1015</v>
      </c>
      <c r="L13" s="73" t="s">
        <v>1016</v>
      </c>
      <c r="M13" s="55" t="s">
        <v>92</v>
      </c>
      <c r="N13" s="2"/>
      <c r="O13" s="2"/>
      <c r="P13" s="7"/>
    </row>
  </sheetData>
  <sheetProtection algorithmName="SHA-512" hashValue="MIxO7+lI4kJ4o0DxKvBUZ7c3jjSM0UO5XfY3xM0mtg6tvJdn31tiZkFSGbgcKS/5ybjlA/WdF0gaMgXD6OoOoA==" saltValue="RgSMQd4LxhkZ7+9N9V0Fig==" spinCount="100000" sheet="1" objects="1" scenarios="1"/>
  <mergeCells count="5">
    <mergeCell ref="D2:L2"/>
    <mergeCell ref="D3:L3"/>
    <mergeCell ref="D4:L4"/>
    <mergeCell ref="D5:L5"/>
    <mergeCell ref="D6:L6"/>
  </mergeCells>
  <conditionalFormatting sqref="M10:M1048576">
    <cfRule type="cellIs" dxfId="339" priority="1" operator="equal">
      <formula>"[PE] Withdrawn"</formula>
    </cfRule>
    <cfRule type="cellIs" dxfId="338" priority="2" operator="equal">
      <formula>"[PE] KIV"</formula>
    </cfRule>
    <cfRule type="containsText" dxfId="337" priority="3" operator="containsText" text="[AE] Failed Screening Questions">
      <formula>NOT(ISERROR(SEARCH("[AE] Failed Screening Questions",M10)))</formula>
    </cfRule>
    <cfRule type="containsText" dxfId="336" priority="4" operator="containsText" text="[AE] Failed Interview &amp; Provide Reasons">
      <formula>NOT(ISERROR(SEARCH("[AE] Failed Interview &amp; Provide Reasons",M10)))</formula>
    </cfRule>
    <cfRule type="containsText" dxfId="335" priority="7" operator="containsText" text="[PE]">
      <formula>NOT(ISERROR(SEARCH("[PE]",M10)))</formula>
    </cfRule>
    <cfRule type="containsText" dxfId="334" priority="8" operator="containsText" text="[AE]">
      <formula>NOT(ISERROR(SEARCH("[AE]",M10)))</formula>
    </cfRule>
  </conditionalFormatting>
  <dataValidations count="3">
    <dataValidation type="list" allowBlank="1" showInputMessage="1" showErrorMessage="1" sqref="D10:D1048576" xr:uid="{00000000-0002-0000-0600-000000000000}">
      <formula1>"Singaporean, SPR"</formula1>
    </dataValidation>
    <dataValidation type="list" allowBlank="1" showInputMessage="1" showErrorMessage="1" sqref="H10:H1048576" xr:uid="{00000000-0002-0000-0600-000001000000}">
      <formula1>"Yan Yee, Edward, Keely, Donny, Ace, Joyce, Amanda, Jaclyn, Charlotte, Jiaxin, Mandy"</formula1>
    </dataValidation>
    <dataValidation type="list" allowBlank="1" showInputMessage="1" showErrorMessage="1" sqref="I10:I1048576" xr:uid="{00000000-0002-0000-0600-000002000000}">
      <formula1>"Yes, No"</formula1>
    </dataValidation>
  </dataValidations>
  <hyperlinks>
    <hyperlink ref="D3" r:id="rId1" xr:uid="{00000000-0004-0000-0600-000000000000}"/>
  </hyperlinks>
  <pageMargins left="0.7" right="0.7" top="0.75" bottom="0.75" header="0.3" footer="0.3"/>
  <pageSetup paperSize="9" orientation="portrait" horizontalDpi="4294967295" verticalDpi="4294967295" r:id="rId2"/>
  <ignoredErrors>
    <ignoredError sqref="C10:C11 F10:F13 C12:C13" calculatedColumn="1"/>
  </ignoredErrors>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3000000}">
          <x14:formula1>
            <xm:f>'Main Page'!$O$3:$O$14</xm:f>
          </x14:formula1>
          <xm:sqref>M10:M1048576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249977111117893"/>
  </sheetPr>
  <dimension ref="A1:Q14"/>
  <sheetViews>
    <sheetView zoomScale="80" zoomScaleNormal="80" workbookViewId="0">
      <pane xSplit="3" topLeftCell="D8" activePane="topRight" state="frozen"/>
      <selection pane="topRight"/>
    </sheetView>
  </sheetViews>
  <sheetFormatPr defaultColWidth="8.7109375" defaultRowHeight="14.45"/>
  <cols>
    <col min="1" max="1" width="5.5703125" style="83" customWidth="1"/>
    <col min="2" max="2" width="5.85546875" style="87" customWidth="1"/>
    <col min="3" max="3" width="20.140625" style="83" customWidth="1"/>
    <col min="4" max="4" width="15.5703125" style="83" customWidth="1"/>
    <col min="5" max="6" width="16.5703125" style="83" customWidth="1"/>
    <col min="7" max="7" width="43" style="83" hidden="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18.85546875" style="3" customWidth="1"/>
    <col min="14" max="14" width="23.42578125" style="3" customWidth="1"/>
    <col min="15" max="15" width="15.140625" style="3" customWidth="1"/>
    <col min="16" max="16" width="11.42578125" style="3" customWidth="1"/>
    <col min="17" max="17" width="11.140625" style="3" customWidth="1"/>
    <col min="18" max="16384" width="8.7109375" style="3"/>
  </cols>
  <sheetData>
    <row r="1" spans="2:17" hidden="1">
      <c r="B1" s="83"/>
    </row>
    <row r="2" spans="2:17" ht="69.95" hidden="1" customHeight="1">
      <c r="B2" s="83"/>
      <c r="C2" s="84" t="s">
        <v>843</v>
      </c>
      <c r="D2" s="242" t="s">
        <v>1020</v>
      </c>
      <c r="E2" s="242"/>
      <c r="F2" s="239"/>
      <c r="G2" s="239"/>
      <c r="H2" s="239"/>
      <c r="I2" s="239"/>
      <c r="J2" s="239"/>
      <c r="K2" s="239"/>
      <c r="L2" s="239"/>
    </row>
    <row r="3" spans="2:17" hidden="1">
      <c r="B3" s="83"/>
      <c r="C3" s="85" t="s">
        <v>845</v>
      </c>
      <c r="D3" s="241" t="s">
        <v>1021</v>
      </c>
      <c r="E3" s="241"/>
      <c r="F3" s="241"/>
      <c r="G3" s="241"/>
      <c r="H3" s="241"/>
      <c r="I3" s="241"/>
      <c r="J3" s="241"/>
      <c r="K3" s="241"/>
      <c r="L3" s="241"/>
    </row>
    <row r="4" spans="2:17" hidden="1">
      <c r="B4" s="83"/>
      <c r="C4" s="85" t="s">
        <v>128</v>
      </c>
      <c r="D4" s="235" t="s">
        <v>1022</v>
      </c>
      <c r="E4" s="235"/>
      <c r="F4" s="235"/>
      <c r="G4" s="235"/>
      <c r="H4" s="235"/>
      <c r="I4" s="235"/>
      <c r="J4" s="235"/>
      <c r="K4" s="235"/>
      <c r="L4" s="235"/>
    </row>
    <row r="5" spans="2:17" hidden="1">
      <c r="B5" s="83"/>
      <c r="C5" s="85" t="s">
        <v>5</v>
      </c>
      <c r="D5" s="235" t="s">
        <v>34</v>
      </c>
      <c r="E5" s="235"/>
      <c r="F5" s="235"/>
      <c r="G5" s="235"/>
      <c r="H5" s="235"/>
      <c r="I5" s="235"/>
      <c r="J5" s="235"/>
      <c r="K5" s="235"/>
      <c r="L5" s="235"/>
    </row>
    <row r="6" spans="2:17" hidden="1">
      <c r="B6" s="83"/>
      <c r="C6" s="85" t="s">
        <v>62</v>
      </c>
      <c r="D6" s="236" t="s">
        <v>34</v>
      </c>
      <c r="E6" s="237"/>
      <c r="F6" s="237"/>
      <c r="G6" s="237"/>
      <c r="H6" s="237"/>
      <c r="I6" s="237"/>
      <c r="J6" s="237"/>
      <c r="K6" s="237"/>
      <c r="L6" s="238"/>
    </row>
    <row r="7" spans="2:17" hidden="1">
      <c r="B7" s="83"/>
      <c r="C7" s="86"/>
    </row>
    <row r="8" spans="2:17">
      <c r="B8" s="83"/>
    </row>
    <row r="9" spans="2:17" ht="57.95">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c r="Q9" s="1" t="s">
        <v>1023</v>
      </c>
    </row>
    <row r="10" spans="2:17">
      <c r="B10" s="69">
        <v>1</v>
      </c>
      <c r="C10" s="71" t="s">
        <v>1024</v>
      </c>
      <c r="D10" s="71" t="s">
        <v>163</v>
      </c>
      <c r="E10" s="72" t="s">
        <v>1025</v>
      </c>
      <c r="F10" s="73">
        <v>87785668</v>
      </c>
      <c r="G10" s="73"/>
      <c r="H10" s="71" t="s">
        <v>34</v>
      </c>
      <c r="I10" s="71" t="s">
        <v>855</v>
      </c>
      <c r="J10" s="73" t="s">
        <v>1026</v>
      </c>
      <c r="K10" s="73" t="s">
        <v>1027</v>
      </c>
      <c r="L10" s="73" t="s">
        <v>1028</v>
      </c>
      <c r="M10" s="2" t="s">
        <v>108</v>
      </c>
      <c r="N10" s="2"/>
      <c r="O10" s="2"/>
      <c r="P10" s="7"/>
      <c r="Q10" s="2" t="s">
        <v>1029</v>
      </c>
    </row>
    <row r="11" spans="2:17">
      <c r="B11" s="69">
        <v>2</v>
      </c>
      <c r="C11" s="71" t="s">
        <v>1030</v>
      </c>
      <c r="D11" s="71" t="s">
        <v>163</v>
      </c>
      <c r="E11" s="72" t="s">
        <v>1031</v>
      </c>
      <c r="F11" s="73">
        <v>87274707</v>
      </c>
      <c r="G11" s="73" t="s">
        <v>1032</v>
      </c>
      <c r="H11" s="71" t="s">
        <v>34</v>
      </c>
      <c r="I11" s="71" t="s">
        <v>855</v>
      </c>
      <c r="J11" s="73" t="s">
        <v>1033</v>
      </c>
      <c r="K11" s="73" t="s">
        <v>1034</v>
      </c>
      <c r="L11" s="73" t="s">
        <v>1035</v>
      </c>
      <c r="M11" s="2" t="s">
        <v>75</v>
      </c>
      <c r="N11" s="2" t="s">
        <v>1036</v>
      </c>
      <c r="O11" s="2"/>
      <c r="P11" s="7"/>
      <c r="Q11" s="2" t="s">
        <v>1037</v>
      </c>
    </row>
    <row r="12" spans="2:17">
      <c r="B12" s="69">
        <v>3</v>
      </c>
      <c r="C12" s="80" t="s">
        <v>1038</v>
      </c>
      <c r="D12" s="80" t="s">
        <v>183</v>
      </c>
      <c r="E12" s="81" t="s">
        <v>1039</v>
      </c>
      <c r="F12" s="82">
        <v>96252001</v>
      </c>
      <c r="G12" s="82" t="s">
        <v>1040</v>
      </c>
      <c r="H12" s="80"/>
      <c r="I12" s="80"/>
      <c r="J12" s="82"/>
      <c r="K12" s="82"/>
      <c r="L12" s="82"/>
      <c r="M12" s="65"/>
      <c r="N12" s="65" t="s">
        <v>1041</v>
      </c>
      <c r="O12" s="2"/>
      <c r="P12" s="7"/>
      <c r="Q12" s="2"/>
    </row>
    <row r="13" spans="2:17">
      <c r="B13" s="69">
        <v>4</v>
      </c>
      <c r="C13" s="71" t="s">
        <v>1042</v>
      </c>
      <c r="D13" s="71" t="s">
        <v>163</v>
      </c>
      <c r="E13" s="72" t="s">
        <v>1043</v>
      </c>
      <c r="F13" s="73">
        <v>96903963</v>
      </c>
      <c r="G13" s="73" t="s">
        <v>1044</v>
      </c>
      <c r="H13" s="71" t="s">
        <v>34</v>
      </c>
      <c r="I13" s="71" t="s">
        <v>855</v>
      </c>
      <c r="J13" s="73" t="s">
        <v>1045</v>
      </c>
      <c r="K13" s="73" t="s">
        <v>1046</v>
      </c>
      <c r="L13" s="73" t="s">
        <v>1028</v>
      </c>
      <c r="M13" s="2" t="s">
        <v>75</v>
      </c>
      <c r="N13" s="2" t="s">
        <v>1036</v>
      </c>
      <c r="O13" s="2"/>
      <c r="P13" s="7"/>
      <c r="Q13" s="2" t="s">
        <v>1047</v>
      </c>
    </row>
    <row r="14" spans="2:17">
      <c r="B14" s="69">
        <v>5</v>
      </c>
      <c r="C14" s="71" t="s">
        <v>988</v>
      </c>
      <c r="D14" s="71" t="s">
        <v>163</v>
      </c>
      <c r="E14" s="103"/>
      <c r="F14" s="73">
        <v>91131441</v>
      </c>
      <c r="G14" s="73"/>
      <c r="H14" s="71" t="s">
        <v>34</v>
      </c>
      <c r="I14" s="71" t="s">
        <v>951</v>
      </c>
      <c r="J14" s="73" t="s">
        <v>1048</v>
      </c>
      <c r="K14" s="73" t="s">
        <v>1049</v>
      </c>
      <c r="L14" s="73" t="s">
        <v>1028</v>
      </c>
      <c r="M14" s="2" t="s">
        <v>75</v>
      </c>
      <c r="N14" s="2"/>
      <c r="O14" s="2"/>
      <c r="P14" s="7"/>
      <c r="Q14" s="2" t="s">
        <v>1050</v>
      </c>
    </row>
  </sheetData>
  <sheetProtection algorithmName="SHA-512" hashValue="uOzucK9IUe2ieS2OJ3RV94n1YteFpi7R1ub/u5CZHhgkDEnkg4gmF6x9wU8siKJ5DAnrWld70DZ8EU7jxuKLyg==" saltValue="q5lNjQAiX2FXM6DreSGv0g==" spinCount="100000" sheet="1" objects="1" scenarios="1"/>
  <mergeCells count="5">
    <mergeCell ref="D2:L2"/>
    <mergeCell ref="D3:L3"/>
    <mergeCell ref="D4:L4"/>
    <mergeCell ref="D5:L5"/>
    <mergeCell ref="D6:L6"/>
  </mergeCells>
  <conditionalFormatting sqref="M10:M1048576">
    <cfRule type="cellIs" dxfId="313" priority="1" operator="equal">
      <formula>"[PE] KIV"</formula>
    </cfRule>
    <cfRule type="cellIs" dxfId="312" priority="2" operator="equal">
      <formula>"[AE] Failed Screening Questions"</formula>
    </cfRule>
    <cfRule type="containsText" dxfId="311" priority="3" operator="containsText" text="[PE] Withdrawn">
      <formula>NOT(ISERROR(SEARCH("[PE] Withdrawn",M10)))</formula>
    </cfRule>
    <cfRule type="containsText" dxfId="310" priority="4" operator="containsText" text="[AE] Failed Interview &amp; Provide Reasons">
      <formula>NOT(ISERROR(SEARCH("[AE] Failed Interview &amp; Provide Reasons",M10)))</formula>
    </cfRule>
    <cfRule type="containsText" dxfId="309" priority="7" operator="containsText" text="[PE]">
      <formula>NOT(ISERROR(SEARCH("[PE]",M10)))</formula>
    </cfRule>
    <cfRule type="containsText" dxfId="308" priority="8" operator="containsText" text="[AE]">
      <formula>NOT(ISERROR(SEARCH("[AE]",M10)))</formula>
    </cfRule>
  </conditionalFormatting>
  <dataValidations count="3">
    <dataValidation type="list" allowBlank="1" showInputMessage="1" showErrorMessage="1" sqref="D10:D1048576" xr:uid="{00000000-0002-0000-0700-000000000000}">
      <formula1>"Singaporean, SPR"</formula1>
    </dataValidation>
    <dataValidation type="list" allowBlank="1" showInputMessage="1" showErrorMessage="1" sqref="I10:I1048576" xr:uid="{00000000-0002-0000-0700-000001000000}">
      <formula1>"Yes, No"</formula1>
    </dataValidation>
    <dataValidation type="list" allowBlank="1" showInputMessage="1" showErrorMessage="1" sqref="H10:H1048576" xr:uid="{00000000-0002-0000-0700-000002000000}">
      <formula1>"Yan Yee, Edward, Keely, Donny, Ace, Joyce, Amanda, Jaclyn, Charlotte, Jiaxin, Mandy"</formula1>
    </dataValidation>
  </dataValidations>
  <hyperlinks>
    <hyperlink ref="D3" r:id="rId1" xr:uid="{00000000-0004-0000-0700-000000000000}"/>
  </hyperlinks>
  <pageMargins left="0.7" right="0.7" top="0.75" bottom="0.75" header="0.3" footer="0.3"/>
  <pageSetup paperSize="9" orientation="portrait" horizontalDpi="4294967295" verticalDpi="4294967295" r:id="rId2"/>
  <ignoredErrors>
    <ignoredError sqref="C10 F10:F14 C14 C11:C13" calculatedColumn="1"/>
  </ignoredErrors>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3000000}">
          <x14:formula1>
            <xm:f>'Main Page'!$O$3:$O$14</xm:f>
          </x14:formula1>
          <xm:sqref>M10:M1048576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249977111117893"/>
  </sheetPr>
  <dimension ref="A1:P11"/>
  <sheetViews>
    <sheetView zoomScale="80" zoomScaleNormal="80" workbookViewId="0">
      <pane xSplit="3" topLeftCell="D8" activePane="topRight" state="frozen"/>
      <selection pane="topRight"/>
    </sheetView>
  </sheetViews>
  <sheetFormatPr defaultColWidth="8.7109375" defaultRowHeight="14.45"/>
  <cols>
    <col min="1" max="1" width="5.5703125" style="83" customWidth="1"/>
    <col min="2" max="2" width="5.85546875" style="87" customWidth="1"/>
    <col min="3" max="3" width="20.140625" style="83" customWidth="1"/>
    <col min="4" max="4" width="15.5703125" style="83" customWidth="1"/>
    <col min="5" max="5" width="25.85546875" style="83" hidden="1" customWidth="1"/>
    <col min="6" max="6" width="16.5703125" style="83" customWidth="1"/>
    <col min="7" max="7" width="37.42578125" style="83" hidden="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18.85546875" style="3" customWidth="1"/>
    <col min="14" max="14" width="23.42578125" style="3" customWidth="1"/>
    <col min="15" max="15" width="15.140625" style="3" customWidth="1"/>
    <col min="16" max="16" width="11.42578125" style="3" customWidth="1"/>
    <col min="17" max="16384" width="8.7109375" style="3"/>
  </cols>
  <sheetData>
    <row r="1" spans="2:16" hidden="1">
      <c r="B1" s="83"/>
    </row>
    <row r="2" spans="2:16" ht="69.95" hidden="1" customHeight="1">
      <c r="B2" s="83"/>
      <c r="C2" s="84" t="s">
        <v>843</v>
      </c>
      <c r="D2" s="242" t="s">
        <v>1051</v>
      </c>
      <c r="E2" s="242"/>
      <c r="F2" s="239"/>
      <c r="G2" s="239"/>
      <c r="H2" s="239"/>
      <c r="I2" s="239"/>
      <c r="J2" s="239"/>
      <c r="K2" s="239"/>
      <c r="L2" s="239"/>
    </row>
    <row r="3" spans="2:16" hidden="1">
      <c r="B3" s="83"/>
      <c r="C3" s="85" t="s">
        <v>845</v>
      </c>
      <c r="D3" s="241" t="s">
        <v>1052</v>
      </c>
      <c r="E3" s="241"/>
      <c r="F3" s="241"/>
      <c r="G3" s="241"/>
      <c r="H3" s="241"/>
      <c r="I3" s="241"/>
      <c r="J3" s="241"/>
      <c r="K3" s="241"/>
      <c r="L3" s="241"/>
    </row>
    <row r="4" spans="2:16" hidden="1">
      <c r="B4" s="83"/>
      <c r="C4" s="85" t="s">
        <v>128</v>
      </c>
      <c r="D4" s="235" t="s">
        <v>1053</v>
      </c>
      <c r="E4" s="235"/>
      <c r="F4" s="235"/>
      <c r="G4" s="235"/>
      <c r="H4" s="235"/>
      <c r="I4" s="235"/>
      <c r="J4" s="235"/>
      <c r="K4" s="235"/>
      <c r="L4" s="235"/>
    </row>
    <row r="5" spans="2:16" hidden="1">
      <c r="B5" s="83"/>
      <c r="C5" s="85" t="s">
        <v>5</v>
      </c>
      <c r="D5" s="235" t="s">
        <v>37</v>
      </c>
      <c r="E5" s="235"/>
      <c r="F5" s="235"/>
      <c r="G5" s="235"/>
      <c r="H5" s="235"/>
      <c r="I5" s="235"/>
      <c r="J5" s="235"/>
      <c r="K5" s="235"/>
      <c r="L5" s="235"/>
    </row>
    <row r="6" spans="2:16" hidden="1">
      <c r="B6" s="83"/>
      <c r="C6" s="85" t="s">
        <v>62</v>
      </c>
      <c r="D6" s="236" t="s">
        <v>37</v>
      </c>
      <c r="E6" s="237"/>
      <c r="F6" s="237"/>
      <c r="G6" s="237"/>
      <c r="H6" s="237"/>
      <c r="I6" s="237"/>
      <c r="J6" s="237"/>
      <c r="K6" s="237"/>
      <c r="L6" s="238"/>
    </row>
    <row r="7" spans="2:16" hidden="1">
      <c r="B7" s="83"/>
      <c r="C7" s="86"/>
    </row>
    <row r="8" spans="2:16">
      <c r="B8" s="83"/>
    </row>
    <row r="9" spans="2:16" ht="57.95">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row>
    <row r="10" spans="2:16">
      <c r="B10" s="69">
        <v>1</v>
      </c>
      <c r="C10" s="71" t="s">
        <v>1054</v>
      </c>
      <c r="D10" s="71" t="s">
        <v>163</v>
      </c>
      <c r="E10" s="72" t="s">
        <v>1055</v>
      </c>
      <c r="F10" s="73">
        <v>81259265</v>
      </c>
      <c r="G10" s="102" t="s">
        <v>1056</v>
      </c>
      <c r="H10" s="71"/>
      <c r="I10" s="73"/>
      <c r="J10" s="71"/>
      <c r="K10" s="71"/>
      <c r="L10" s="71"/>
      <c r="M10" s="2" t="s">
        <v>83</v>
      </c>
      <c r="N10" s="2"/>
      <c r="O10" s="2"/>
      <c r="P10" s="7"/>
    </row>
    <row r="11" spans="2:16">
      <c r="B11" s="69">
        <v>2</v>
      </c>
      <c r="C11" s="71" t="s">
        <v>1057</v>
      </c>
      <c r="D11" s="71" t="s">
        <v>163</v>
      </c>
      <c r="E11" s="72" t="s">
        <v>1058</v>
      </c>
      <c r="F11" s="73">
        <v>96657000</v>
      </c>
      <c r="G11" s="73" t="s">
        <v>1059</v>
      </c>
      <c r="H11" s="71" t="s">
        <v>37</v>
      </c>
      <c r="I11" s="73" t="s">
        <v>951</v>
      </c>
      <c r="J11" s="73" t="s">
        <v>1060</v>
      </c>
      <c r="K11" s="73" t="s">
        <v>1061</v>
      </c>
      <c r="L11" s="73" t="s">
        <v>1016</v>
      </c>
      <c r="M11" s="55" t="s">
        <v>67</v>
      </c>
      <c r="N11" s="2"/>
      <c r="O11" s="2"/>
      <c r="P11" s="7"/>
    </row>
  </sheetData>
  <sheetProtection algorithmName="SHA-512" hashValue="/i4OO6RinvPbcmPWdZCTbZ60Pd3rXTTWK/13uNBqQfuM/agG+lNkZAOzuJ9CtKdhIAJy1TxXk//9qcsS2hNuRQ==" saltValue="jzB59lwJxIj9J9PXQmxswQ==" spinCount="100000" sheet="1" objects="1" scenarios="1"/>
  <mergeCells count="5">
    <mergeCell ref="D2:L2"/>
    <mergeCell ref="D3:L3"/>
    <mergeCell ref="D4:L4"/>
    <mergeCell ref="D5:L5"/>
    <mergeCell ref="D6:L6"/>
  </mergeCells>
  <conditionalFormatting sqref="M10:M1048576">
    <cfRule type="cellIs" dxfId="286" priority="1" operator="equal">
      <formula>"[PE] KIV"</formula>
    </cfRule>
    <cfRule type="cellIs" dxfId="285" priority="2" operator="equal">
      <formula>"[PE] Failed Screening Questions"</formula>
    </cfRule>
    <cfRule type="containsText" dxfId="284" priority="3" operator="containsText" text="[PE] Withdrawn">
      <formula>NOT(ISERROR(SEARCH("[PE] Withdrawn",M10)))</formula>
    </cfRule>
    <cfRule type="containsText" dxfId="283" priority="4" operator="containsText" text="[AE] Failed Interview &amp; Provide Reasons">
      <formula>NOT(ISERROR(SEARCH("[AE] Failed Interview &amp; Provide Reasons",M10)))</formula>
    </cfRule>
    <cfRule type="containsText" dxfId="282" priority="7" operator="containsText" text="[PE]">
      <formula>NOT(ISERROR(SEARCH("[PE]",M10)))</formula>
    </cfRule>
    <cfRule type="containsText" dxfId="281" priority="8" operator="containsText" text="[AE]">
      <formula>NOT(ISERROR(SEARCH("[AE]",M10)))</formula>
    </cfRule>
  </conditionalFormatting>
  <dataValidations count="3">
    <dataValidation type="list" allowBlank="1" showInputMessage="1" showErrorMessage="1" sqref="D10:D1048576" xr:uid="{00000000-0002-0000-0800-000000000000}">
      <formula1>"Singaporean, SPR"</formula1>
    </dataValidation>
    <dataValidation type="list" allowBlank="1" showInputMessage="1" showErrorMessage="1" sqref="H10:H1048576" xr:uid="{00000000-0002-0000-0800-000001000000}">
      <formula1>"Yan Yee, Edward, Keely, Donny, Ace, Joyce, Amanda, Jaclyn, Charlotte, Jiaxin, Mandy"</formula1>
    </dataValidation>
    <dataValidation type="list" allowBlank="1" showInputMessage="1" showErrorMessage="1" sqref="I10:I1048576" xr:uid="{00000000-0002-0000-0800-000002000000}">
      <formula1>"Yes, No"</formula1>
    </dataValidation>
  </dataValidations>
  <hyperlinks>
    <hyperlink ref="D3" r:id="rId1" xr:uid="{00000000-0004-0000-0800-000000000000}"/>
    <hyperlink ref="G10" r:id="rId2" xr:uid="{00000000-0004-0000-0800-000001000000}"/>
  </hyperlinks>
  <pageMargins left="0.7" right="0.7" top="0.75" bottom="0.75" header="0.3" footer="0.3"/>
  <pageSetup paperSize="9" orientation="portrait" horizontalDpi="4294967295" verticalDpi="4294967295" r:id="rId3"/>
  <ignoredErrors>
    <ignoredError sqref="F10:F11" calculatedColumn="1"/>
  </ignoredErrors>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3000000}">
          <x14:formula1>
            <xm:f>'Main Page'!$O$3:$O$14</xm:f>
          </x14:formula1>
          <xm:sqref>M10:M1048576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249977111117893"/>
  </sheetPr>
  <dimension ref="A1:Q16"/>
  <sheetViews>
    <sheetView zoomScale="80" zoomScaleNormal="80" workbookViewId="0">
      <pane xSplit="3" topLeftCell="M8" activePane="topRight" state="frozen"/>
      <selection pane="topRight" activeCell="M12" sqref="M12"/>
    </sheetView>
  </sheetViews>
  <sheetFormatPr defaultColWidth="8.7109375" defaultRowHeight="14.45"/>
  <cols>
    <col min="1" max="1" width="5.5703125" style="83" customWidth="1"/>
    <col min="2" max="2" width="5.85546875" style="87" customWidth="1"/>
    <col min="3" max="3" width="24" style="83" bestFit="1" customWidth="1"/>
    <col min="4" max="4" width="15.5703125" style="83" customWidth="1"/>
    <col min="5" max="5" width="25.85546875" style="83" hidden="1" customWidth="1"/>
    <col min="6" max="6" width="16.5703125" style="83" customWidth="1"/>
    <col min="7" max="7" width="50.5703125" style="83" hidden="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18.85546875" style="3" customWidth="1"/>
    <col min="14" max="14" width="23.42578125" style="3" customWidth="1"/>
    <col min="15" max="15" width="15.140625" style="3" customWidth="1"/>
    <col min="16" max="16" width="11.42578125" style="3" customWidth="1"/>
    <col min="17" max="17" width="22.7109375" style="3" customWidth="1"/>
    <col min="18" max="16384" width="8.7109375" style="3"/>
  </cols>
  <sheetData>
    <row r="1" spans="1:17" hidden="1">
      <c r="B1" s="83"/>
    </row>
    <row r="2" spans="1:17" ht="30" hidden="1" customHeight="1">
      <c r="B2" s="83"/>
      <c r="C2" s="84" t="s">
        <v>843</v>
      </c>
      <c r="D2" s="243" t="s">
        <v>1062</v>
      </c>
      <c r="E2" s="243"/>
      <c r="F2" s="244"/>
      <c r="G2" s="244"/>
      <c r="H2" s="244"/>
      <c r="I2" s="244"/>
      <c r="J2" s="244"/>
      <c r="K2" s="244"/>
      <c r="L2" s="244"/>
    </row>
    <row r="3" spans="1:17" hidden="1">
      <c r="B3" s="83"/>
      <c r="C3" s="85" t="s">
        <v>845</v>
      </c>
      <c r="D3" s="241" t="s">
        <v>1063</v>
      </c>
      <c r="E3" s="241"/>
      <c r="F3" s="241"/>
      <c r="G3" s="241"/>
      <c r="H3" s="241"/>
      <c r="I3" s="241"/>
      <c r="J3" s="241"/>
      <c r="K3" s="241"/>
      <c r="L3" s="241"/>
    </row>
    <row r="4" spans="1:17" hidden="1">
      <c r="B4" s="83"/>
      <c r="C4" s="85" t="s">
        <v>128</v>
      </c>
      <c r="D4" s="235" t="s">
        <v>846</v>
      </c>
      <c r="E4" s="235"/>
      <c r="F4" s="235"/>
      <c r="G4" s="235"/>
      <c r="H4" s="235"/>
      <c r="I4" s="235"/>
      <c r="J4" s="235"/>
      <c r="K4" s="235"/>
      <c r="L4" s="235"/>
    </row>
    <row r="5" spans="1:17" hidden="1">
      <c r="B5" s="83"/>
      <c r="C5" s="85" t="s">
        <v>5</v>
      </c>
      <c r="D5" s="235" t="s">
        <v>39</v>
      </c>
      <c r="E5" s="235"/>
      <c r="F5" s="235"/>
      <c r="G5" s="235"/>
      <c r="H5" s="235"/>
      <c r="I5" s="235"/>
      <c r="J5" s="235"/>
      <c r="K5" s="235"/>
      <c r="L5" s="235"/>
    </row>
    <row r="6" spans="1:17" hidden="1">
      <c r="B6" s="83"/>
      <c r="C6" s="85" t="s">
        <v>62</v>
      </c>
      <c r="D6" s="236" t="s">
        <v>39</v>
      </c>
      <c r="E6" s="237"/>
      <c r="F6" s="237"/>
      <c r="G6" s="237"/>
      <c r="H6" s="237"/>
      <c r="I6" s="237"/>
      <c r="J6" s="237"/>
      <c r="K6" s="237"/>
      <c r="L6" s="238"/>
    </row>
    <row r="7" spans="1:17" hidden="1">
      <c r="B7" s="83"/>
      <c r="C7" s="86"/>
    </row>
    <row r="8" spans="1:17">
      <c r="B8" s="83"/>
    </row>
    <row r="9" spans="1:17" s="56" customFormat="1" ht="57.95">
      <c r="A9" s="100"/>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c r="Q9" s="1" t="s">
        <v>1023</v>
      </c>
    </row>
    <row r="10" spans="1:17">
      <c r="B10" s="69">
        <v>1</v>
      </c>
      <c r="C10" s="71" t="s">
        <v>1064</v>
      </c>
      <c r="D10" s="71" t="s">
        <v>183</v>
      </c>
      <c r="E10" s="72" t="s">
        <v>1065</v>
      </c>
      <c r="F10" s="73">
        <v>81869778</v>
      </c>
      <c r="G10" s="73"/>
      <c r="H10" s="71" t="s">
        <v>105</v>
      </c>
      <c r="I10" s="71" t="s">
        <v>855</v>
      </c>
      <c r="J10" s="73" t="s">
        <v>1066</v>
      </c>
      <c r="K10" s="101">
        <v>3500</v>
      </c>
      <c r="L10" s="73" t="s">
        <v>1067</v>
      </c>
      <c r="M10" s="55" t="s">
        <v>71</v>
      </c>
      <c r="N10" s="55" t="s">
        <v>1068</v>
      </c>
      <c r="O10" s="55"/>
      <c r="P10" s="57"/>
      <c r="Q10" s="55" t="s">
        <v>1069</v>
      </c>
    </row>
    <row r="11" spans="1:17" ht="30">
      <c r="B11" s="69">
        <v>2</v>
      </c>
      <c r="C11" s="71" t="s">
        <v>1070</v>
      </c>
      <c r="D11" s="71" t="s">
        <v>163</v>
      </c>
      <c r="E11" s="72" t="s">
        <v>1071</v>
      </c>
      <c r="F11" s="73">
        <v>91789874</v>
      </c>
      <c r="G11" s="73" t="s">
        <v>1072</v>
      </c>
      <c r="H11" s="71" t="s">
        <v>52</v>
      </c>
      <c r="I11" s="71" t="s">
        <v>855</v>
      </c>
      <c r="J11" s="71" t="s">
        <v>1073</v>
      </c>
      <c r="K11" s="71" t="s">
        <v>1074</v>
      </c>
      <c r="L11" s="71" t="s">
        <v>1028</v>
      </c>
      <c r="M11" s="2" t="s">
        <v>104</v>
      </c>
      <c r="N11" s="2" t="s">
        <v>1075</v>
      </c>
      <c r="O11" s="195" t="s">
        <v>1076</v>
      </c>
      <c r="P11" s="57"/>
      <c r="Q11" s="55"/>
    </row>
    <row r="12" spans="1:17">
      <c r="B12" s="69">
        <v>3</v>
      </c>
      <c r="C12" s="71" t="s">
        <v>1077</v>
      </c>
      <c r="D12" s="71" t="s">
        <v>183</v>
      </c>
      <c r="E12" s="72" t="s">
        <v>1078</v>
      </c>
      <c r="F12" s="73">
        <v>83749692</v>
      </c>
      <c r="G12" s="73" t="s">
        <v>1079</v>
      </c>
      <c r="H12" s="71" t="s">
        <v>105</v>
      </c>
      <c r="I12" s="71" t="s">
        <v>855</v>
      </c>
      <c r="J12" s="73" t="s">
        <v>1080</v>
      </c>
      <c r="K12" s="101">
        <v>3500</v>
      </c>
      <c r="L12" s="73" t="s">
        <v>1081</v>
      </c>
      <c r="M12" s="55" t="s">
        <v>86</v>
      </c>
      <c r="N12" s="55" t="s">
        <v>1082</v>
      </c>
      <c r="O12" s="55" t="s">
        <v>1083</v>
      </c>
      <c r="P12" s="57"/>
      <c r="Q12" s="55" t="s">
        <v>1084</v>
      </c>
    </row>
    <row r="13" spans="1:17">
      <c r="B13" s="69">
        <v>4</v>
      </c>
      <c r="C13" s="71" t="s">
        <v>1085</v>
      </c>
      <c r="D13" s="71" t="s">
        <v>163</v>
      </c>
      <c r="E13" s="72" t="s">
        <v>1086</v>
      </c>
      <c r="F13" s="73">
        <v>91280496</v>
      </c>
      <c r="G13" s="73" t="s">
        <v>1087</v>
      </c>
      <c r="H13" s="71" t="s">
        <v>52</v>
      </c>
      <c r="I13" s="71" t="s">
        <v>855</v>
      </c>
      <c r="J13" s="71" t="s">
        <v>1088</v>
      </c>
      <c r="K13" s="71" t="s">
        <v>1089</v>
      </c>
      <c r="L13" s="71" t="s">
        <v>548</v>
      </c>
      <c r="M13" s="2" t="s">
        <v>75</v>
      </c>
      <c r="N13" s="2" t="s">
        <v>1090</v>
      </c>
      <c r="O13" s="2"/>
      <c r="P13" s="7"/>
      <c r="Q13" s="2"/>
    </row>
    <row r="14" spans="1:17">
      <c r="B14" s="69">
        <v>5</v>
      </c>
      <c r="C14" s="71" t="s">
        <v>1091</v>
      </c>
      <c r="D14" s="71" t="s">
        <v>163</v>
      </c>
      <c r="E14" s="72" t="s">
        <v>1092</v>
      </c>
      <c r="F14" s="73">
        <v>92770945</v>
      </c>
      <c r="G14" s="73" t="s">
        <v>1093</v>
      </c>
      <c r="H14" s="71" t="s">
        <v>52</v>
      </c>
      <c r="I14" s="71" t="s">
        <v>855</v>
      </c>
      <c r="J14" s="71" t="s">
        <v>1094</v>
      </c>
      <c r="K14" s="71" t="s">
        <v>1095</v>
      </c>
      <c r="L14" s="71" t="s">
        <v>1028</v>
      </c>
      <c r="M14" s="2" t="s">
        <v>75</v>
      </c>
      <c r="N14" s="2" t="s">
        <v>1096</v>
      </c>
      <c r="O14" s="2"/>
      <c r="P14" s="7"/>
      <c r="Q14" s="2"/>
    </row>
    <row r="15" spans="1:17">
      <c r="B15" s="69">
        <v>6</v>
      </c>
      <c r="C15" s="75" t="s">
        <v>1097</v>
      </c>
      <c r="D15" s="75" t="s">
        <v>163</v>
      </c>
      <c r="E15" s="72" t="s">
        <v>1098</v>
      </c>
      <c r="F15" s="76">
        <v>98489066</v>
      </c>
      <c r="G15" s="73" t="s">
        <v>1099</v>
      </c>
      <c r="H15" s="75"/>
      <c r="I15" s="75"/>
      <c r="J15" s="75"/>
      <c r="K15" s="75"/>
      <c r="L15" s="75"/>
      <c r="M15" s="8"/>
      <c r="N15" s="8"/>
      <c r="O15" s="8"/>
      <c r="P15" s="9"/>
      <c r="Q15" s="2"/>
    </row>
    <row r="16" spans="1:17">
      <c r="B16" s="69">
        <v>7</v>
      </c>
      <c r="C16" s="71" t="s">
        <v>1100</v>
      </c>
      <c r="D16" s="71" t="s">
        <v>183</v>
      </c>
      <c r="E16" s="72" t="s">
        <v>1101</v>
      </c>
      <c r="F16" s="73">
        <v>85950136</v>
      </c>
      <c r="G16" s="73" t="s">
        <v>1102</v>
      </c>
      <c r="H16" s="71" t="s">
        <v>52</v>
      </c>
      <c r="I16" s="71" t="s">
        <v>855</v>
      </c>
      <c r="J16" s="71" t="s">
        <v>1103</v>
      </c>
      <c r="K16" s="71" t="s">
        <v>1104</v>
      </c>
      <c r="L16" s="71" t="s">
        <v>1028</v>
      </c>
      <c r="M16" s="2" t="s">
        <v>75</v>
      </c>
      <c r="N16" s="2" t="s">
        <v>1105</v>
      </c>
      <c r="O16" s="2"/>
      <c r="P16" s="7"/>
      <c r="Q16" s="8"/>
    </row>
  </sheetData>
  <sheetProtection algorithmName="SHA-512" hashValue="4+VcMvcqBhq0DCaUXv+x90YRqulLu8zXs+jRtKbAJtd25CfBuapIkVlyierOSS/MVLZnQVvI4gu9RLbjb7fU1g==" saltValue="rXj80GDuO28kv6MkljcFFg==" spinCount="100000" sheet="1" objects="1" scenarios="1"/>
  <mergeCells count="5">
    <mergeCell ref="D2:L2"/>
    <mergeCell ref="D3:L3"/>
    <mergeCell ref="D4:L4"/>
    <mergeCell ref="D5:L5"/>
    <mergeCell ref="D6:L6"/>
  </mergeCells>
  <conditionalFormatting sqref="M11">
    <cfRule type="containsText" dxfId="260" priority="9" operator="containsText" text="[PE]">
      <formula>NOT(ISERROR(SEARCH("[PE]",M11)))</formula>
    </cfRule>
    <cfRule type="containsText" dxfId="259" priority="10" operator="containsText" text="[AE]">
      <formula>NOT(ISERROR(SEARCH("[AE]",M11)))</formula>
    </cfRule>
  </conditionalFormatting>
  <conditionalFormatting sqref="M13">
    <cfRule type="containsText" dxfId="258" priority="7" operator="containsText" text="[PE]">
      <formula>NOT(ISERROR(SEARCH("[PE]",M13)))</formula>
    </cfRule>
    <cfRule type="containsText" dxfId="257" priority="8" operator="containsText" text="[AE]">
      <formula>NOT(ISERROR(SEARCH("[AE]",M13)))</formula>
    </cfRule>
  </conditionalFormatting>
  <conditionalFormatting sqref="M14">
    <cfRule type="containsText" dxfId="256" priority="5" operator="containsText" text="[PE]">
      <formula>NOT(ISERROR(SEARCH("[PE]",M14)))</formula>
    </cfRule>
    <cfRule type="containsText" dxfId="255" priority="6" operator="containsText" text="[AE]">
      <formula>NOT(ISERROR(SEARCH("[AE]",M14)))</formula>
    </cfRule>
  </conditionalFormatting>
  <conditionalFormatting sqref="M16">
    <cfRule type="containsText" dxfId="254" priority="3" operator="containsText" text="[PE]">
      <formula>NOT(ISERROR(SEARCH("[PE]",M16)))</formula>
    </cfRule>
    <cfRule type="containsText" dxfId="253" priority="4" operator="containsText" text="[AE]">
      <formula>NOT(ISERROR(SEARCH("[AE]",M16)))</formula>
    </cfRule>
  </conditionalFormatting>
  <conditionalFormatting sqref="M10:M1048576">
    <cfRule type="cellIs" dxfId="252" priority="1" operator="equal">
      <formula>"[PE] KIV"</formula>
    </cfRule>
    <cfRule type="cellIs" dxfId="251" priority="2" operator="equal">
      <formula>"[AE] Failed Screening Questions"</formula>
    </cfRule>
    <cfRule type="containsText" dxfId="250" priority="11" operator="containsText" text="[PE] Withdrawn">
      <formula>NOT(ISERROR(SEARCH("[PE] Withdrawn",M10)))</formula>
    </cfRule>
    <cfRule type="containsText" dxfId="249" priority="12" operator="containsText" text="[AE] Failed Interview &amp; Provide Reasons">
      <formula>NOT(ISERROR(SEARCH("[AE] Failed Interview &amp; Provide Reasons",M10)))</formula>
    </cfRule>
    <cfRule type="containsText" dxfId="248" priority="15" operator="containsText" text="[PE]">
      <formula>NOT(ISERROR(SEARCH("[PE]",M10)))</formula>
    </cfRule>
    <cfRule type="containsText" dxfId="247" priority="16" operator="containsText" text="[AE]">
      <formula>NOT(ISERROR(SEARCH("[AE]",M10)))</formula>
    </cfRule>
  </conditionalFormatting>
  <dataValidations count="3">
    <dataValidation type="list" allowBlank="1" showInputMessage="1" showErrorMessage="1" sqref="D10:D1048576" xr:uid="{00000000-0002-0000-0900-000000000000}">
      <formula1>"Singaporean, SPR"</formula1>
    </dataValidation>
    <dataValidation type="list" allowBlank="1" showInputMessage="1" showErrorMessage="1" sqref="I10:I1048576" xr:uid="{00000000-0002-0000-0900-000001000000}">
      <formula1>"Yes, No"</formula1>
    </dataValidation>
    <dataValidation type="list" allowBlank="1" showInputMessage="1" showErrorMessage="1" sqref="H10:H1048576" xr:uid="{00000000-0002-0000-0900-000002000000}">
      <formula1>"Yan Yee, Edward, Keely, Donny, Ace, Joyce, Amanda, Jaclyn, Charlotte, Jiaxin, Mandy"</formula1>
    </dataValidation>
  </dataValidations>
  <hyperlinks>
    <hyperlink ref="D3" r:id="rId1" xr:uid="{00000000-0004-0000-0900-000000000000}"/>
  </hyperlinks>
  <pageMargins left="0.7" right="0.7" top="0.75" bottom="0.75" header="0.3" footer="0.3"/>
  <pageSetup paperSize="9" orientation="portrait" horizontalDpi="4294967295" verticalDpi="4294967295"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3000000}">
          <x14:formula1>
            <xm:f>'Main Page'!$O$3:$O$14</xm:f>
          </x14:formula1>
          <xm:sqref>M10:M1048576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249977111117893"/>
  </sheetPr>
  <dimension ref="A1:P21"/>
  <sheetViews>
    <sheetView zoomScale="80" zoomScaleNormal="80" workbookViewId="0">
      <pane xSplit="3" topLeftCell="D1" activePane="topRight" state="frozen"/>
      <selection pane="topRight" sqref="A1:XFD7"/>
    </sheetView>
  </sheetViews>
  <sheetFormatPr defaultColWidth="8.7109375" defaultRowHeight="14.45"/>
  <cols>
    <col min="1" max="1" width="5.5703125" style="83" customWidth="1"/>
    <col min="2" max="2" width="5.85546875" style="87" customWidth="1"/>
    <col min="3" max="3" width="30.85546875" style="83" bestFit="1" customWidth="1"/>
    <col min="4" max="4" width="15.5703125" style="83" customWidth="1"/>
    <col min="5" max="5" width="25.85546875" style="83" customWidth="1"/>
    <col min="6" max="6" width="16.5703125" style="83" customWidth="1"/>
    <col min="7" max="7" width="50.5703125" style="83" hidden="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18.85546875" style="3" customWidth="1"/>
    <col min="14" max="14" width="23.42578125" style="3" customWidth="1"/>
    <col min="15" max="15" width="15.140625" style="3" customWidth="1"/>
    <col min="16" max="16" width="11.42578125" style="3" customWidth="1"/>
    <col min="17" max="16384" width="8.7109375" style="3"/>
  </cols>
  <sheetData>
    <row r="1" spans="2:16" hidden="1">
      <c r="B1" s="83"/>
    </row>
    <row r="2" spans="2:16" ht="69.95" hidden="1" customHeight="1">
      <c r="B2" s="83"/>
      <c r="C2" s="84" t="s">
        <v>843</v>
      </c>
      <c r="D2" s="242" t="s">
        <v>1106</v>
      </c>
      <c r="E2" s="242"/>
      <c r="F2" s="239"/>
      <c r="G2" s="239"/>
      <c r="H2" s="239"/>
      <c r="I2" s="239"/>
      <c r="J2" s="239"/>
      <c r="K2" s="239"/>
      <c r="L2" s="239"/>
    </row>
    <row r="3" spans="2:16" hidden="1">
      <c r="B3" s="83"/>
      <c r="C3" s="85" t="s">
        <v>845</v>
      </c>
      <c r="D3" s="241" t="s">
        <v>1107</v>
      </c>
      <c r="E3" s="241"/>
      <c r="F3" s="241"/>
      <c r="G3" s="241"/>
      <c r="H3" s="241"/>
      <c r="I3" s="241"/>
      <c r="J3" s="241"/>
      <c r="K3" s="241"/>
      <c r="L3" s="241"/>
    </row>
    <row r="4" spans="2:16" hidden="1">
      <c r="B4" s="83"/>
      <c r="C4" s="85" t="s">
        <v>128</v>
      </c>
      <c r="D4" s="235" t="s">
        <v>1108</v>
      </c>
      <c r="E4" s="235"/>
      <c r="F4" s="235"/>
      <c r="G4" s="235"/>
      <c r="H4" s="235"/>
      <c r="I4" s="235"/>
      <c r="J4" s="235"/>
      <c r="K4" s="235"/>
      <c r="L4" s="235"/>
    </row>
    <row r="5" spans="2:16" hidden="1">
      <c r="B5" s="83"/>
      <c r="C5" s="85" t="s">
        <v>5</v>
      </c>
      <c r="D5" s="235" t="s">
        <v>41</v>
      </c>
      <c r="E5" s="235"/>
      <c r="F5" s="235"/>
      <c r="G5" s="235"/>
      <c r="H5" s="235"/>
      <c r="I5" s="235"/>
      <c r="J5" s="235"/>
      <c r="K5" s="235"/>
      <c r="L5" s="235"/>
    </row>
    <row r="6" spans="2:16" hidden="1">
      <c r="B6" s="83"/>
      <c r="C6" s="85" t="s">
        <v>62</v>
      </c>
      <c r="D6" s="236" t="s">
        <v>41</v>
      </c>
      <c r="E6" s="237"/>
      <c r="F6" s="237"/>
      <c r="G6" s="237"/>
      <c r="H6" s="237"/>
      <c r="I6" s="237"/>
      <c r="J6" s="237"/>
      <c r="K6" s="237"/>
      <c r="L6" s="238"/>
    </row>
    <row r="7" spans="2:16" hidden="1">
      <c r="B7" s="83"/>
      <c r="C7" s="86"/>
    </row>
    <row r="8" spans="2:16">
      <c r="B8" s="83"/>
    </row>
    <row r="9" spans="2:16" ht="57.95">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row>
    <row r="10" spans="2:16">
      <c r="B10" s="69">
        <v>1</v>
      </c>
      <c r="C10" s="71" t="s">
        <v>1109</v>
      </c>
      <c r="D10" s="71" t="s">
        <v>183</v>
      </c>
      <c r="E10" s="72" t="s">
        <v>1110</v>
      </c>
      <c r="F10" s="73">
        <v>87890623</v>
      </c>
      <c r="G10" s="73" t="s">
        <v>1111</v>
      </c>
      <c r="H10" s="71" t="s">
        <v>41</v>
      </c>
      <c r="I10" s="71" t="s">
        <v>855</v>
      </c>
      <c r="J10" s="71" t="s">
        <v>1112</v>
      </c>
      <c r="K10" s="71" t="s">
        <v>1113</v>
      </c>
      <c r="L10" s="71" t="s">
        <v>1114</v>
      </c>
      <c r="M10" s="2" t="s">
        <v>89</v>
      </c>
      <c r="N10" s="2" t="s">
        <v>1115</v>
      </c>
      <c r="O10" s="2"/>
      <c r="P10" s="7"/>
    </row>
    <row r="11" spans="2:16">
      <c r="B11" s="69">
        <v>2</v>
      </c>
      <c r="C11" s="71" t="s">
        <v>1116</v>
      </c>
      <c r="D11" s="71" t="s">
        <v>183</v>
      </c>
      <c r="E11" s="72" t="s">
        <v>1117</v>
      </c>
      <c r="F11" s="73">
        <v>85181825</v>
      </c>
      <c r="G11" s="73" t="s">
        <v>1118</v>
      </c>
      <c r="H11" s="71" t="s">
        <v>41</v>
      </c>
      <c r="I11" s="71" t="s">
        <v>855</v>
      </c>
      <c r="J11" s="71" t="s">
        <v>1119</v>
      </c>
      <c r="K11" s="71" t="s">
        <v>1120</v>
      </c>
      <c r="L11" s="71" t="s">
        <v>1114</v>
      </c>
      <c r="M11" s="2" t="s">
        <v>89</v>
      </c>
      <c r="N11" s="2" t="s">
        <v>1121</v>
      </c>
      <c r="O11" s="2"/>
      <c r="P11" s="7"/>
    </row>
    <row r="12" spans="2:16">
      <c r="B12" s="69">
        <v>3</v>
      </c>
      <c r="C12" s="80" t="s">
        <v>1122</v>
      </c>
      <c r="D12" s="80" t="s">
        <v>163</v>
      </c>
      <c r="E12" s="81" t="s">
        <v>1123</v>
      </c>
      <c r="F12" s="82">
        <v>91801054</v>
      </c>
      <c r="G12" s="82" t="s">
        <v>1124</v>
      </c>
      <c r="H12" s="80"/>
      <c r="I12" s="80"/>
      <c r="J12" s="80"/>
      <c r="K12" s="80"/>
      <c r="L12" s="80"/>
      <c r="M12" s="65"/>
      <c r="N12" s="65" t="s">
        <v>914</v>
      </c>
      <c r="O12" s="2"/>
      <c r="P12" s="7"/>
    </row>
    <row r="13" spans="2:16">
      <c r="B13" s="69">
        <v>4</v>
      </c>
      <c r="C13" s="71" t="s">
        <v>1125</v>
      </c>
      <c r="D13" s="71" t="s">
        <v>163</v>
      </c>
      <c r="E13" s="72" t="s">
        <v>1126</v>
      </c>
      <c r="F13" s="73">
        <v>97440058</v>
      </c>
      <c r="G13" s="73" t="s">
        <v>1127</v>
      </c>
      <c r="H13" s="71" t="s">
        <v>41</v>
      </c>
      <c r="I13" s="71" t="s">
        <v>855</v>
      </c>
      <c r="J13" s="71" t="s">
        <v>1128</v>
      </c>
      <c r="K13" s="71" t="s">
        <v>1129</v>
      </c>
      <c r="L13" s="71" t="s">
        <v>548</v>
      </c>
      <c r="M13" s="2" t="s">
        <v>108</v>
      </c>
      <c r="N13" s="2" t="s">
        <v>1130</v>
      </c>
      <c r="O13" s="2"/>
      <c r="P13" s="7"/>
    </row>
    <row r="14" spans="2:16">
      <c r="B14" s="69">
        <v>5</v>
      </c>
      <c r="C14" s="71" t="s">
        <v>1131</v>
      </c>
      <c r="D14" s="71" t="s">
        <v>163</v>
      </c>
      <c r="E14" s="72" t="s">
        <v>1132</v>
      </c>
      <c r="F14" s="73">
        <v>98362590</v>
      </c>
      <c r="G14" s="73" t="s">
        <v>1133</v>
      </c>
      <c r="H14" s="71"/>
      <c r="I14" s="71"/>
      <c r="J14" s="71" t="s">
        <v>1134</v>
      </c>
      <c r="K14" s="71" t="s">
        <v>1135</v>
      </c>
      <c r="L14" s="71" t="s">
        <v>1114</v>
      </c>
      <c r="M14" s="2" t="s">
        <v>75</v>
      </c>
      <c r="N14" s="2" t="s">
        <v>1136</v>
      </c>
      <c r="O14" s="2"/>
      <c r="P14" s="7"/>
    </row>
    <row r="15" spans="2:16">
      <c r="B15" s="69">
        <v>6</v>
      </c>
      <c r="C15" s="75" t="s">
        <v>1137</v>
      </c>
      <c r="D15" s="75" t="s">
        <v>183</v>
      </c>
      <c r="E15" s="72" t="s">
        <v>1138</v>
      </c>
      <c r="F15" s="76">
        <v>90301742</v>
      </c>
      <c r="G15" s="73" t="s">
        <v>1139</v>
      </c>
      <c r="H15" s="71" t="s">
        <v>41</v>
      </c>
      <c r="I15" s="75" t="s">
        <v>855</v>
      </c>
      <c r="J15" s="75" t="s">
        <v>1140</v>
      </c>
      <c r="K15" s="75" t="s">
        <v>1141</v>
      </c>
      <c r="L15" s="71" t="s">
        <v>1114</v>
      </c>
      <c r="M15" s="8" t="s">
        <v>89</v>
      </c>
      <c r="N15" s="8" t="s">
        <v>1142</v>
      </c>
      <c r="O15" s="8"/>
      <c r="P15" s="9"/>
    </row>
    <row r="16" spans="2:16">
      <c r="B16" s="69">
        <v>7</v>
      </c>
      <c r="C16" s="71" t="s">
        <v>1143</v>
      </c>
      <c r="D16" s="71" t="s">
        <v>183</v>
      </c>
      <c r="E16" s="72" t="s">
        <v>1144</v>
      </c>
      <c r="F16" s="73">
        <v>93574465</v>
      </c>
      <c r="G16" s="73" t="s">
        <v>1145</v>
      </c>
      <c r="H16" s="71"/>
      <c r="I16" s="71"/>
      <c r="J16" s="71"/>
      <c r="K16" s="71"/>
      <c r="L16" s="71"/>
      <c r="M16" s="2" t="s">
        <v>83</v>
      </c>
      <c r="N16" s="2"/>
      <c r="O16" s="2"/>
      <c r="P16" s="7"/>
    </row>
    <row r="17" spans="2:16">
      <c r="B17" s="69">
        <v>8</v>
      </c>
      <c r="C17" s="71" t="s">
        <v>1146</v>
      </c>
      <c r="D17" s="71" t="s">
        <v>183</v>
      </c>
      <c r="E17" s="72" t="s">
        <v>1147</v>
      </c>
      <c r="F17" s="73">
        <v>81635753</v>
      </c>
      <c r="G17" s="73" t="s">
        <v>1148</v>
      </c>
      <c r="H17" s="71"/>
      <c r="I17" s="71"/>
      <c r="J17" s="71"/>
      <c r="K17" s="71"/>
      <c r="L17" s="71"/>
      <c r="M17" s="2" t="s">
        <v>83</v>
      </c>
      <c r="N17" s="2"/>
      <c r="O17" s="2"/>
      <c r="P17" s="7"/>
    </row>
    <row r="18" spans="2:16">
      <c r="B18" s="69">
        <v>9</v>
      </c>
      <c r="C18" s="71" t="s">
        <v>1149</v>
      </c>
      <c r="D18" s="71" t="s">
        <v>163</v>
      </c>
      <c r="E18" s="72" t="s">
        <v>1150</v>
      </c>
      <c r="F18" s="73">
        <v>91001566</v>
      </c>
      <c r="G18" s="73" t="s">
        <v>1151</v>
      </c>
      <c r="H18" s="71" t="s">
        <v>41</v>
      </c>
      <c r="I18" s="71" t="s">
        <v>855</v>
      </c>
      <c r="J18" s="71" t="s">
        <v>1152</v>
      </c>
      <c r="K18" s="71" t="s">
        <v>1153</v>
      </c>
      <c r="L18" s="71" t="s">
        <v>1114</v>
      </c>
      <c r="M18" s="2" t="s">
        <v>89</v>
      </c>
      <c r="N18" s="2" t="s">
        <v>1154</v>
      </c>
      <c r="O18" s="2"/>
      <c r="P18" s="7"/>
    </row>
    <row r="19" spans="2:16">
      <c r="B19" s="69">
        <v>10</v>
      </c>
      <c r="C19" s="71" t="s">
        <v>1155</v>
      </c>
      <c r="D19" s="71" t="s">
        <v>163</v>
      </c>
      <c r="E19" s="72" t="s">
        <v>1156</v>
      </c>
      <c r="F19" s="73">
        <v>88135488</v>
      </c>
      <c r="G19" s="73" t="s">
        <v>1157</v>
      </c>
      <c r="H19" s="71" t="s">
        <v>41</v>
      </c>
      <c r="I19" s="71" t="s">
        <v>855</v>
      </c>
      <c r="J19" s="71" t="s">
        <v>1158</v>
      </c>
      <c r="K19" s="71" t="s">
        <v>1159</v>
      </c>
      <c r="L19" s="71" t="s">
        <v>1160</v>
      </c>
      <c r="M19" s="2" t="s">
        <v>75</v>
      </c>
      <c r="N19" s="2" t="s">
        <v>1161</v>
      </c>
      <c r="O19" s="2"/>
      <c r="P19" s="7"/>
    </row>
    <row r="20" spans="2:16">
      <c r="B20" s="69">
        <v>11</v>
      </c>
      <c r="C20" s="71" t="s">
        <v>1162</v>
      </c>
      <c r="D20" s="71" t="s">
        <v>183</v>
      </c>
      <c r="E20" s="72" t="s">
        <v>1163</v>
      </c>
      <c r="F20" s="73">
        <v>98587931</v>
      </c>
      <c r="G20" s="73" t="s">
        <v>1164</v>
      </c>
      <c r="H20" s="71" t="s">
        <v>41</v>
      </c>
      <c r="I20" s="71" t="s">
        <v>855</v>
      </c>
      <c r="J20" s="71" t="s">
        <v>1083</v>
      </c>
      <c r="K20" s="71" t="s">
        <v>1083</v>
      </c>
      <c r="L20" s="71" t="s">
        <v>1083</v>
      </c>
      <c r="M20" s="2" t="s">
        <v>71</v>
      </c>
      <c r="N20" s="2" t="s">
        <v>1165</v>
      </c>
      <c r="O20" s="2"/>
      <c r="P20" s="7"/>
    </row>
    <row r="21" spans="2:16">
      <c r="B21" s="69">
        <v>12</v>
      </c>
      <c r="C21" s="71" t="s">
        <v>1166</v>
      </c>
      <c r="D21" s="71" t="s">
        <v>163</v>
      </c>
      <c r="E21" s="72" t="s">
        <v>1167</v>
      </c>
      <c r="F21" s="73">
        <v>98361898</v>
      </c>
      <c r="G21" s="73" t="s">
        <v>1168</v>
      </c>
      <c r="H21" s="71" t="s">
        <v>41</v>
      </c>
      <c r="I21" s="71" t="s">
        <v>855</v>
      </c>
      <c r="J21" s="71" t="s">
        <v>1169</v>
      </c>
      <c r="K21" s="71" t="s">
        <v>1170</v>
      </c>
      <c r="L21" s="71" t="s">
        <v>1171</v>
      </c>
      <c r="M21" s="2" t="s">
        <v>75</v>
      </c>
      <c r="N21" s="2" t="s">
        <v>1172</v>
      </c>
      <c r="O21" s="2"/>
      <c r="P21" s="7"/>
    </row>
  </sheetData>
  <sheetProtection algorithmName="SHA-512" hashValue="iFTTegCw9xkw7F55QHU3tpdAaiqNHRFMJah6UhSWqcN2IJe1Q7sE9OgNhxxrGgsdVXstAaScyNMEhILQ17c0cA==" saltValue="Yth7j8NFx+vl8gKHgS4wMw==" spinCount="100000" sheet="1" objects="1" scenarios="1"/>
  <mergeCells count="5">
    <mergeCell ref="D2:L2"/>
    <mergeCell ref="D3:L3"/>
    <mergeCell ref="D4:L4"/>
    <mergeCell ref="D5:L5"/>
    <mergeCell ref="D6:L6"/>
  </mergeCells>
  <conditionalFormatting sqref="M10:M1048576">
    <cfRule type="cellIs" dxfId="225" priority="1" operator="equal">
      <formula>"[PE] KIV"</formula>
    </cfRule>
    <cfRule type="cellIs" dxfId="224" priority="2" operator="equal">
      <formula>"[AE] Failed Screening Questions"</formula>
    </cfRule>
    <cfRule type="containsText" dxfId="223" priority="3" operator="containsText" text="[PE] Withdrawn">
      <formula>NOT(ISERROR(SEARCH("[PE] Withdrawn",M10)))</formula>
    </cfRule>
    <cfRule type="containsText" dxfId="222" priority="4" operator="containsText" text="[AE] Failed Interview &amp; Provide Reasons">
      <formula>NOT(ISERROR(SEARCH("[AE] Failed Interview &amp; Provide Reasons",M10)))</formula>
    </cfRule>
    <cfRule type="containsText" dxfId="221" priority="7" operator="containsText" text="[PE]">
      <formula>NOT(ISERROR(SEARCH("[PE]",M10)))</formula>
    </cfRule>
    <cfRule type="containsText" dxfId="220" priority="8" operator="containsText" text="[AE]">
      <formula>NOT(ISERROR(SEARCH("[AE]",M10)))</formula>
    </cfRule>
  </conditionalFormatting>
  <dataValidations count="3">
    <dataValidation type="list" allowBlank="1" showInputMessage="1" showErrorMessage="1" sqref="D10:D1048576" xr:uid="{00000000-0002-0000-0A00-000000000000}">
      <formula1>"Singaporean, SPR"</formula1>
    </dataValidation>
    <dataValidation type="list" allowBlank="1" showInputMessage="1" showErrorMessage="1" sqref="I10:I1048576" xr:uid="{00000000-0002-0000-0A00-000001000000}">
      <formula1>"Yes, No"</formula1>
    </dataValidation>
    <dataValidation type="list" allowBlank="1" showInputMessage="1" showErrorMessage="1" sqref="H10:H1048576" xr:uid="{00000000-0002-0000-0A00-000002000000}">
      <formula1>"Yan Yee, Edward, Keely, Donny, Ace, Joyce, Amanda, Jaclyn, Charlotte, Jiaxin, Mandy"</formula1>
    </dataValidation>
  </dataValidations>
  <hyperlinks>
    <hyperlink ref="D3" r:id="rId1" xr:uid="{00000000-0004-0000-0A00-000000000000}"/>
  </hyperlinks>
  <pageMargins left="0.7" right="0.7" top="0.75" bottom="0.75" header="0.3" footer="0.3"/>
  <pageSetup paperSize="9" orientation="portrait" horizontalDpi="4294967295" verticalDpi="4294967295"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3000000}">
          <x14:formula1>
            <xm:f>'Main Page'!$O$3:$O$14</xm:f>
          </x14:formula1>
          <xm:sqref>M10:M1048576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P11"/>
  <sheetViews>
    <sheetView zoomScale="80" zoomScaleNormal="80" workbookViewId="0">
      <pane xSplit="3" topLeftCell="K10" activePane="topRight" state="frozen"/>
      <selection pane="topRight" activeCell="K10" sqref="K10"/>
    </sheetView>
  </sheetViews>
  <sheetFormatPr defaultColWidth="8.7109375" defaultRowHeight="14.45"/>
  <cols>
    <col min="1" max="1" width="5.5703125" style="83" customWidth="1"/>
    <col min="2" max="2" width="5.85546875" style="87" customWidth="1"/>
    <col min="3" max="3" width="20.140625" style="83" customWidth="1"/>
    <col min="4" max="4" width="15.5703125" style="83" customWidth="1"/>
    <col min="5" max="5" width="25.85546875" style="83" hidden="1" customWidth="1"/>
    <col min="6" max="6" width="16.5703125" style="83" customWidth="1"/>
    <col min="7" max="7" width="47.28515625" style="83" hidden="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18.85546875" style="3" customWidth="1"/>
    <col min="14" max="14" width="23.42578125" style="3" customWidth="1"/>
    <col min="15" max="15" width="15.140625" style="3" customWidth="1"/>
    <col min="16" max="16" width="11.42578125" style="3" customWidth="1"/>
    <col min="17" max="16384" width="8.7109375" style="3"/>
  </cols>
  <sheetData>
    <row r="1" spans="2:16" hidden="1">
      <c r="B1" s="83"/>
    </row>
    <row r="2" spans="2:16" ht="30" hidden="1" customHeight="1">
      <c r="B2" s="83"/>
      <c r="C2" s="84" t="s">
        <v>843</v>
      </c>
      <c r="D2" s="242" t="s">
        <v>1173</v>
      </c>
      <c r="E2" s="242"/>
      <c r="F2" s="239"/>
      <c r="G2" s="239"/>
      <c r="H2" s="239"/>
      <c r="I2" s="239"/>
      <c r="J2" s="239"/>
      <c r="K2" s="239"/>
      <c r="L2" s="239"/>
    </row>
    <row r="3" spans="2:16" hidden="1">
      <c r="B3" s="83"/>
      <c r="C3" s="85" t="s">
        <v>845</v>
      </c>
      <c r="D3" s="241" t="s">
        <v>1174</v>
      </c>
      <c r="E3" s="241"/>
      <c r="F3" s="241"/>
      <c r="G3" s="241"/>
      <c r="H3" s="241"/>
      <c r="I3" s="241"/>
      <c r="J3" s="241"/>
      <c r="K3" s="241"/>
      <c r="L3" s="241"/>
    </row>
    <row r="4" spans="2:16" hidden="1">
      <c r="B4" s="83"/>
      <c r="C4" s="85" t="s">
        <v>128</v>
      </c>
      <c r="D4" s="235" t="s">
        <v>1175</v>
      </c>
      <c r="E4" s="235"/>
      <c r="F4" s="235"/>
      <c r="G4" s="235"/>
      <c r="H4" s="235"/>
      <c r="I4" s="235"/>
      <c r="J4" s="235"/>
      <c r="K4" s="235"/>
      <c r="L4" s="235"/>
    </row>
    <row r="5" spans="2:16" hidden="1">
      <c r="B5" s="83"/>
      <c r="C5" s="85" t="s">
        <v>5</v>
      </c>
      <c r="D5" s="235" t="s">
        <v>41</v>
      </c>
      <c r="E5" s="235"/>
      <c r="F5" s="235"/>
      <c r="G5" s="235"/>
      <c r="H5" s="235"/>
      <c r="I5" s="235"/>
      <c r="J5" s="235"/>
      <c r="K5" s="235"/>
      <c r="L5" s="235"/>
    </row>
    <row r="6" spans="2:16" hidden="1">
      <c r="B6" s="83"/>
      <c r="C6" s="85" t="s">
        <v>62</v>
      </c>
      <c r="D6" s="236" t="s">
        <v>1176</v>
      </c>
      <c r="E6" s="237"/>
      <c r="F6" s="237"/>
      <c r="G6" s="237"/>
      <c r="H6" s="237"/>
      <c r="I6" s="237"/>
      <c r="J6" s="237"/>
      <c r="K6" s="237"/>
      <c r="L6" s="238"/>
    </row>
    <row r="7" spans="2:16" hidden="1">
      <c r="B7" s="83"/>
      <c r="C7" s="86"/>
    </row>
    <row r="8" spans="2:16">
      <c r="B8" s="83"/>
    </row>
    <row r="9" spans="2:16" ht="57.95">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row>
    <row r="10" spans="2:16">
      <c r="B10" s="69">
        <v>1</v>
      </c>
      <c r="C10" s="71" t="s">
        <v>1177</v>
      </c>
      <c r="D10" s="71" t="s">
        <v>163</v>
      </c>
      <c r="E10" s="72" t="s">
        <v>1178</v>
      </c>
      <c r="F10" s="73">
        <v>96770772</v>
      </c>
      <c r="G10" s="73" t="s">
        <v>1179</v>
      </c>
      <c r="H10" s="71" t="s">
        <v>1180</v>
      </c>
      <c r="I10" s="71" t="s">
        <v>855</v>
      </c>
      <c r="J10" s="71" t="s">
        <v>1181</v>
      </c>
      <c r="K10" s="71" t="s">
        <v>1182</v>
      </c>
      <c r="L10" s="71" t="s">
        <v>1183</v>
      </c>
      <c r="M10" s="2" t="s">
        <v>97</v>
      </c>
      <c r="N10" s="2" t="s">
        <v>1184</v>
      </c>
      <c r="O10" s="2" t="s">
        <v>1185</v>
      </c>
      <c r="P10" s="7" t="s">
        <v>858</v>
      </c>
    </row>
    <row r="11" spans="2:16">
      <c r="B11" s="69">
        <v>2</v>
      </c>
      <c r="C11" s="71" t="s">
        <v>1186</v>
      </c>
      <c r="D11" s="71" t="s">
        <v>183</v>
      </c>
      <c r="E11" s="72" t="s">
        <v>1187</v>
      </c>
      <c r="F11" s="73">
        <v>91090260</v>
      </c>
      <c r="G11" s="71"/>
      <c r="H11" s="71" t="s">
        <v>1180</v>
      </c>
      <c r="I11" s="71" t="s">
        <v>855</v>
      </c>
      <c r="J11" s="71" t="s">
        <v>1188</v>
      </c>
      <c r="K11" s="71" t="s">
        <v>1189</v>
      </c>
      <c r="L11" s="71" t="s">
        <v>234</v>
      </c>
      <c r="M11" s="2" t="s">
        <v>92</v>
      </c>
      <c r="N11" s="2" t="s">
        <v>1190</v>
      </c>
      <c r="O11" s="2" t="s">
        <v>1191</v>
      </c>
      <c r="P11" s="7" t="s">
        <v>234</v>
      </c>
    </row>
  </sheetData>
  <sheetProtection algorithmName="SHA-512" hashValue="Eslct6kxT8Go3GGbl9sjLYYzUFEhmVfyLMlVyUoSwFgM3VamjU5ZEeSLt8XhpoVnEK73PT9AQLqpqzjFpWyQfQ==" saltValue="0cZrrlbRgA7Pb1u/vfTrMA==" spinCount="100000" sheet="1" objects="1" scenarios="1"/>
  <mergeCells count="5">
    <mergeCell ref="D2:L2"/>
    <mergeCell ref="D3:L3"/>
    <mergeCell ref="D4:L4"/>
    <mergeCell ref="D5:L5"/>
    <mergeCell ref="D6:L6"/>
  </mergeCells>
  <conditionalFormatting sqref="M10:M1048576">
    <cfRule type="cellIs" dxfId="199" priority="1" operator="equal">
      <formula>"[PE] Withdrawn"</formula>
    </cfRule>
    <cfRule type="cellIs" dxfId="198" priority="2" operator="equal">
      <formula>"[AE] Failed Interview &amp; Provide Reasons"</formula>
    </cfRule>
    <cfRule type="cellIs" dxfId="197" priority="3" operator="equal">
      <formula>"[AE] Failed Screening Questions"</formula>
    </cfRule>
    <cfRule type="cellIs" dxfId="196" priority="4" operator="equal">
      <formula>"[PE] KIV"</formula>
    </cfRule>
    <cfRule type="containsText" dxfId="195" priority="7" operator="containsText" text="[PE]">
      <formula>NOT(ISERROR(SEARCH("[PE]",M10)))</formula>
    </cfRule>
    <cfRule type="containsText" dxfId="194" priority="8" operator="containsText" text="[AE]">
      <formula>NOT(ISERROR(SEARCH("[AE]",M10)))</formula>
    </cfRule>
  </conditionalFormatting>
  <dataValidations count="4">
    <dataValidation type="list" allowBlank="1" showInputMessage="1" showErrorMessage="1" sqref="H12:H1048576" xr:uid="{00000000-0002-0000-0B00-000000000000}">
      <formula1>"Yan Yee, Edward, Keely, Donny, Ace, Joyce, Amanda, Jaclyn, Charlotte, Jiaxin, Mandy"</formula1>
    </dataValidation>
    <dataValidation type="list" allowBlank="1" showInputMessage="1" showErrorMessage="1" sqref="D10:D1048576" xr:uid="{00000000-0002-0000-0B00-000001000000}">
      <formula1>"Singaporean, SPR"</formula1>
    </dataValidation>
    <dataValidation type="list" allowBlank="1" showInputMessage="1" showErrorMessage="1" sqref="H10:H11" xr:uid="{00000000-0002-0000-0B00-000002000000}">
      <formula1>"Jessica"</formula1>
    </dataValidation>
    <dataValidation type="list" allowBlank="1" showInputMessage="1" showErrorMessage="1" sqref="I10:I1048576" xr:uid="{00000000-0002-0000-0B00-000003000000}">
      <formula1>"Yes, No"</formula1>
    </dataValidation>
  </dataValidations>
  <hyperlinks>
    <hyperlink ref="D3" r:id="rId1" xr:uid="{00000000-0004-0000-0B00-000000000000}"/>
  </hyperlinks>
  <pageMargins left="0.7" right="0.7" top="0.75" bottom="0.75" header="0.3" footer="0.3"/>
  <pageSetup paperSize="9" orientation="portrait" horizontalDpi="4294967295" verticalDpi="4294967295"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B00-000004000000}">
          <x14:formula1>
            <xm:f>'Main Page'!$O$3:$O$14</xm:f>
          </x14:formula1>
          <xm:sqref>M10:M1048576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P13"/>
  <sheetViews>
    <sheetView zoomScale="80" zoomScaleNormal="80" workbookViewId="0">
      <pane xSplit="3" topLeftCell="H13" activePane="topRight" state="frozen"/>
      <selection pane="topRight" activeCell="H13" sqref="H13"/>
    </sheetView>
  </sheetViews>
  <sheetFormatPr defaultColWidth="8.7109375" defaultRowHeight="14.45"/>
  <cols>
    <col min="1" max="1" width="5.5703125" style="83" customWidth="1"/>
    <col min="2" max="2" width="5.85546875" style="87" customWidth="1"/>
    <col min="3" max="3" width="32.28515625" style="83" bestFit="1" customWidth="1"/>
    <col min="4" max="4" width="15.5703125" style="83" customWidth="1"/>
    <col min="5" max="5" width="25.85546875" style="83" hidden="1" customWidth="1"/>
    <col min="6" max="6" width="16.5703125" style="83" customWidth="1"/>
    <col min="7" max="7" width="58.85546875" style="83" hidden="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18.85546875" style="3" customWidth="1"/>
    <col min="14" max="14" width="23.42578125" style="3" customWidth="1"/>
    <col min="15" max="15" width="15.140625" style="3" customWidth="1"/>
    <col min="16" max="16" width="11.42578125" style="3" customWidth="1"/>
    <col min="17" max="16384" width="8.7109375" style="3"/>
  </cols>
  <sheetData>
    <row r="1" spans="2:16" hidden="1">
      <c r="B1" s="83"/>
    </row>
    <row r="2" spans="2:16" ht="69.95" hidden="1" customHeight="1">
      <c r="B2" s="83"/>
      <c r="C2" s="84" t="s">
        <v>843</v>
      </c>
      <c r="D2" s="242" t="s">
        <v>1192</v>
      </c>
      <c r="E2" s="242"/>
      <c r="F2" s="239"/>
      <c r="G2" s="239"/>
      <c r="H2" s="239"/>
      <c r="I2" s="239"/>
      <c r="J2" s="239"/>
      <c r="K2" s="239"/>
      <c r="L2" s="239"/>
    </row>
    <row r="3" spans="2:16" hidden="1">
      <c r="B3" s="83"/>
      <c r="C3" s="85" t="s">
        <v>845</v>
      </c>
      <c r="D3" s="241" t="s">
        <v>1193</v>
      </c>
      <c r="E3" s="241"/>
      <c r="F3" s="241"/>
      <c r="G3" s="241"/>
      <c r="H3" s="241"/>
      <c r="I3" s="241"/>
      <c r="J3" s="241"/>
      <c r="K3" s="241"/>
      <c r="L3" s="241"/>
    </row>
    <row r="4" spans="2:16" hidden="1">
      <c r="B4" s="83"/>
      <c r="C4" s="85" t="s">
        <v>128</v>
      </c>
      <c r="D4" s="235" t="s">
        <v>1194</v>
      </c>
      <c r="E4" s="235"/>
      <c r="F4" s="235"/>
      <c r="G4" s="235"/>
      <c r="H4" s="235"/>
      <c r="I4" s="235"/>
      <c r="J4" s="235"/>
      <c r="K4" s="235"/>
      <c r="L4" s="235"/>
    </row>
    <row r="5" spans="2:16" hidden="1">
      <c r="B5" s="83"/>
      <c r="C5" s="85" t="s">
        <v>5</v>
      </c>
      <c r="D5" s="235" t="s">
        <v>45</v>
      </c>
      <c r="E5" s="235"/>
      <c r="F5" s="235"/>
      <c r="G5" s="235"/>
      <c r="H5" s="235"/>
      <c r="I5" s="235"/>
      <c r="J5" s="235"/>
      <c r="K5" s="235"/>
      <c r="L5" s="235"/>
    </row>
    <row r="6" spans="2:16" hidden="1">
      <c r="B6" s="83"/>
      <c r="C6" s="85" t="s">
        <v>62</v>
      </c>
      <c r="D6" s="236" t="s">
        <v>45</v>
      </c>
      <c r="E6" s="237"/>
      <c r="F6" s="237"/>
      <c r="G6" s="237"/>
      <c r="H6" s="237"/>
      <c r="I6" s="237"/>
      <c r="J6" s="237"/>
      <c r="K6" s="237"/>
      <c r="L6" s="238"/>
    </row>
    <row r="7" spans="2:16" hidden="1">
      <c r="B7" s="83"/>
      <c r="C7" s="86"/>
    </row>
    <row r="8" spans="2:16">
      <c r="B8" s="83"/>
    </row>
    <row r="9" spans="2:16" ht="57.95">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row>
    <row r="10" spans="2:16">
      <c r="B10" s="69">
        <v>1</v>
      </c>
      <c r="C10" s="71" t="s">
        <v>1195</v>
      </c>
      <c r="D10" s="71" t="s">
        <v>163</v>
      </c>
      <c r="E10" s="72" t="s">
        <v>1196</v>
      </c>
      <c r="F10" s="73">
        <v>98386050</v>
      </c>
      <c r="G10" s="73" t="s">
        <v>1197</v>
      </c>
      <c r="H10" s="71"/>
      <c r="I10" s="71"/>
      <c r="J10" s="71"/>
      <c r="K10" s="71"/>
      <c r="L10" s="71"/>
      <c r="M10" s="2" t="s">
        <v>83</v>
      </c>
      <c r="N10" s="2"/>
      <c r="O10" s="2"/>
      <c r="P10" s="7"/>
    </row>
    <row r="11" spans="2:16">
      <c r="B11" s="69">
        <v>2</v>
      </c>
      <c r="C11" s="71" t="s">
        <v>1198</v>
      </c>
      <c r="D11" s="71" t="s">
        <v>183</v>
      </c>
      <c r="E11" s="72" t="s">
        <v>1199</v>
      </c>
      <c r="F11" s="73">
        <v>90839795</v>
      </c>
      <c r="G11" s="73" t="s">
        <v>1200</v>
      </c>
      <c r="H11" s="71" t="s">
        <v>45</v>
      </c>
      <c r="I11" s="71"/>
      <c r="J11" s="71"/>
      <c r="K11" s="71"/>
      <c r="L11" s="71"/>
      <c r="M11" s="2" t="s">
        <v>83</v>
      </c>
      <c r="N11" s="2"/>
      <c r="O11" s="2"/>
      <c r="P11" s="7"/>
    </row>
    <row r="12" spans="2:16">
      <c r="B12" s="69">
        <v>3</v>
      </c>
      <c r="C12" s="71" t="s">
        <v>1201</v>
      </c>
      <c r="D12" s="71" t="s">
        <v>163</v>
      </c>
      <c r="E12" s="72" t="s">
        <v>1202</v>
      </c>
      <c r="F12" s="73">
        <v>96997577</v>
      </c>
      <c r="G12" s="73" t="s">
        <v>1203</v>
      </c>
      <c r="H12" s="71" t="s">
        <v>45</v>
      </c>
      <c r="I12" s="71" t="s">
        <v>855</v>
      </c>
      <c r="J12" s="71" t="s">
        <v>1204</v>
      </c>
      <c r="K12" s="71" t="s">
        <v>1205</v>
      </c>
      <c r="L12" s="71" t="s">
        <v>548</v>
      </c>
      <c r="M12" s="2" t="s">
        <v>71</v>
      </c>
      <c r="N12" s="2" t="s">
        <v>1206</v>
      </c>
      <c r="O12" s="2"/>
      <c r="P12" s="7"/>
    </row>
    <row r="13" spans="2:16">
      <c r="B13" s="69">
        <v>4</v>
      </c>
      <c r="C13" s="71" t="s">
        <v>1207</v>
      </c>
      <c r="D13" s="71" t="s">
        <v>183</v>
      </c>
      <c r="E13" s="72" t="s">
        <v>1208</v>
      </c>
      <c r="F13" s="73">
        <v>94762058</v>
      </c>
      <c r="G13" s="73" t="s">
        <v>1209</v>
      </c>
      <c r="H13" s="71" t="s">
        <v>45</v>
      </c>
      <c r="I13" s="71" t="s">
        <v>855</v>
      </c>
      <c r="J13" s="71" t="s">
        <v>1210</v>
      </c>
      <c r="K13" s="71" t="s">
        <v>1211</v>
      </c>
      <c r="L13" s="71" t="s">
        <v>548</v>
      </c>
      <c r="M13" s="2" t="s">
        <v>97</v>
      </c>
      <c r="N13" s="2" t="s">
        <v>1212</v>
      </c>
      <c r="O13" s="2"/>
      <c r="P13" s="7"/>
    </row>
  </sheetData>
  <sheetProtection algorithmName="SHA-512" hashValue="lDVlpOc/Ce5dRDElewwO7TJnMpc/2mi95OqFeK0kMzmCzcfV4awZJRPQSI5bHVsVhUgZ9PorwciWnMeBQIHuZQ==" saltValue="CK4tyj+/6KoCq4i4a38nwQ==" spinCount="100000" sheet="1" objects="1" scenarios="1"/>
  <mergeCells count="5">
    <mergeCell ref="D2:L2"/>
    <mergeCell ref="D3:L3"/>
    <mergeCell ref="D4:L4"/>
    <mergeCell ref="D5:L5"/>
    <mergeCell ref="D6:L6"/>
  </mergeCells>
  <conditionalFormatting sqref="M10:M1048576">
    <cfRule type="cellIs" dxfId="173" priority="1" operator="equal">
      <formula>"[PE] Withdrawn"</formula>
    </cfRule>
    <cfRule type="cellIs" dxfId="172" priority="2" operator="equal">
      <formula>"[AE] Failed Screening Questions"</formula>
    </cfRule>
    <cfRule type="cellIs" dxfId="171" priority="3" operator="equal">
      <formula>"[AE] Failed Interview &amp; Provide Reasons"</formula>
    </cfRule>
    <cfRule type="cellIs" dxfId="170" priority="4" operator="equal">
      <formula>"[PE] KIV"</formula>
    </cfRule>
    <cfRule type="containsText" dxfId="169" priority="7" operator="containsText" text="[PE]">
      <formula>NOT(ISERROR(SEARCH("[PE]",M10)))</formula>
    </cfRule>
    <cfRule type="containsText" dxfId="168" priority="8" operator="containsText" text="[AE]">
      <formula>NOT(ISERROR(SEARCH("[AE]",M10)))</formula>
    </cfRule>
  </conditionalFormatting>
  <dataValidations count="3">
    <dataValidation type="list" allowBlank="1" showInputMessage="1" showErrorMessage="1" sqref="D10:D1048576" xr:uid="{00000000-0002-0000-0C00-000000000000}">
      <formula1>"Singaporean, SPR"</formula1>
    </dataValidation>
    <dataValidation type="list" allowBlank="1" showInputMessage="1" showErrorMessage="1" sqref="I10:I1048576" xr:uid="{00000000-0002-0000-0C00-000001000000}">
      <formula1>"Yes, No"</formula1>
    </dataValidation>
    <dataValidation type="list" allowBlank="1" showInputMessage="1" showErrorMessage="1" sqref="H10:H1048576" xr:uid="{00000000-0002-0000-0C00-000002000000}">
      <formula1>"Yan Yee, Edward, Keely, Donny, Ace, Joyce, Amanda, Jaclyn, Charlotte, Jiaxin, Mandy"</formula1>
    </dataValidation>
  </dataValidations>
  <hyperlinks>
    <hyperlink ref="D3" r:id="rId1" xr:uid="{00000000-0004-0000-0C00-000000000000}"/>
  </hyperlinks>
  <pageMargins left="0.7" right="0.7" top="0.75" bottom="0.75" header="0.3" footer="0.3"/>
  <pageSetup paperSize="9" orientation="portrait" horizontalDpi="4294967295" verticalDpi="4294967295"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3000000}">
          <x14:formula1>
            <xm:f>'Main Page'!$O$3:$O$14</xm:f>
          </x14:formula1>
          <xm:sqref>M10:M1048576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P15"/>
  <sheetViews>
    <sheetView zoomScale="80" zoomScaleNormal="80" workbookViewId="0">
      <pane xSplit="3" topLeftCell="D8" activePane="topRight" state="frozen"/>
      <selection pane="topRight"/>
    </sheetView>
  </sheetViews>
  <sheetFormatPr defaultColWidth="8.7109375" defaultRowHeight="14.45"/>
  <cols>
    <col min="1" max="1" width="5.5703125" style="83" customWidth="1"/>
    <col min="2" max="2" width="5.85546875" style="87" customWidth="1"/>
    <col min="3" max="3" width="25.85546875" style="83" bestFit="1" customWidth="1"/>
    <col min="4" max="4" width="15.5703125" style="83" customWidth="1"/>
    <col min="5" max="5" width="27.42578125" style="83" hidden="1" customWidth="1"/>
    <col min="6" max="6" width="16.5703125" style="83" customWidth="1"/>
    <col min="7" max="7" width="60.7109375" style="83" hidden="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18.85546875" style="3" customWidth="1"/>
    <col min="14" max="14" width="23.42578125" style="3" customWidth="1"/>
    <col min="15" max="15" width="15.140625" style="3" customWidth="1"/>
    <col min="16" max="16" width="11.42578125" style="3" customWidth="1"/>
    <col min="17" max="16384" width="8.7109375" style="3"/>
  </cols>
  <sheetData>
    <row r="1" spans="2:16" hidden="1">
      <c r="B1" s="83"/>
    </row>
    <row r="2" spans="2:16" ht="69.95" hidden="1" customHeight="1">
      <c r="B2" s="83"/>
      <c r="C2" s="84" t="s">
        <v>843</v>
      </c>
      <c r="D2" s="242" t="s">
        <v>1213</v>
      </c>
      <c r="E2" s="242"/>
      <c r="F2" s="239"/>
      <c r="G2" s="239"/>
      <c r="H2" s="239"/>
      <c r="I2" s="239"/>
      <c r="J2" s="239"/>
      <c r="K2" s="239"/>
      <c r="L2" s="239"/>
    </row>
    <row r="3" spans="2:16" hidden="1">
      <c r="B3" s="83"/>
      <c r="C3" s="85" t="s">
        <v>845</v>
      </c>
      <c r="D3" s="241" t="s">
        <v>1214</v>
      </c>
      <c r="E3" s="241"/>
      <c r="F3" s="241"/>
      <c r="G3" s="241"/>
      <c r="H3" s="241"/>
      <c r="I3" s="241"/>
      <c r="J3" s="241"/>
      <c r="K3" s="241"/>
      <c r="L3" s="241"/>
    </row>
    <row r="4" spans="2:16" hidden="1">
      <c r="B4" s="83"/>
      <c r="C4" s="85" t="s">
        <v>128</v>
      </c>
      <c r="D4" s="235" t="s">
        <v>1215</v>
      </c>
      <c r="E4" s="235"/>
      <c r="F4" s="235"/>
      <c r="G4" s="235"/>
      <c r="H4" s="235"/>
      <c r="I4" s="235"/>
      <c r="J4" s="235"/>
      <c r="K4" s="235"/>
      <c r="L4" s="235"/>
    </row>
    <row r="5" spans="2:16" hidden="1">
      <c r="B5" s="83"/>
      <c r="C5" s="85" t="s">
        <v>5</v>
      </c>
      <c r="D5" s="235" t="s">
        <v>41</v>
      </c>
      <c r="E5" s="235"/>
      <c r="F5" s="235"/>
      <c r="G5" s="235"/>
      <c r="H5" s="235"/>
      <c r="I5" s="235"/>
      <c r="J5" s="235"/>
      <c r="K5" s="235"/>
      <c r="L5" s="235"/>
    </row>
    <row r="6" spans="2:16" hidden="1">
      <c r="B6" s="83"/>
      <c r="C6" s="85" t="s">
        <v>62</v>
      </c>
      <c r="D6" s="236" t="s">
        <v>1176</v>
      </c>
      <c r="E6" s="237"/>
      <c r="F6" s="237"/>
      <c r="G6" s="237"/>
      <c r="H6" s="237"/>
      <c r="I6" s="237"/>
      <c r="J6" s="237"/>
      <c r="K6" s="237"/>
      <c r="L6" s="238"/>
    </row>
    <row r="7" spans="2:16" hidden="1">
      <c r="B7" s="83"/>
      <c r="C7" s="86"/>
    </row>
    <row r="8" spans="2:16">
      <c r="B8" s="83"/>
    </row>
    <row r="9" spans="2:16" ht="57.95">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row>
    <row r="10" spans="2:16">
      <c r="B10" s="69">
        <v>1</v>
      </c>
      <c r="C10" s="71" t="s">
        <v>1216</v>
      </c>
      <c r="D10" s="71" t="s">
        <v>183</v>
      </c>
      <c r="E10" s="72" t="s">
        <v>1217</v>
      </c>
      <c r="F10" s="73">
        <v>96514151</v>
      </c>
      <c r="G10" s="73" t="s">
        <v>1218</v>
      </c>
      <c r="H10" s="71" t="s">
        <v>1180</v>
      </c>
      <c r="I10" s="71" t="s">
        <v>855</v>
      </c>
      <c r="J10" s="71" t="s">
        <v>1219</v>
      </c>
      <c r="K10" s="71" t="s">
        <v>1220</v>
      </c>
      <c r="L10" s="71" t="s">
        <v>1221</v>
      </c>
      <c r="M10" s="2" t="s">
        <v>75</v>
      </c>
      <c r="N10" s="2" t="s">
        <v>1222</v>
      </c>
      <c r="O10" s="2" t="s">
        <v>1223</v>
      </c>
      <c r="P10" s="7" t="s">
        <v>1224</v>
      </c>
    </row>
    <row r="11" spans="2:16">
      <c r="B11" s="69">
        <v>2</v>
      </c>
      <c r="C11" s="71" t="s">
        <v>1225</v>
      </c>
      <c r="D11" s="71" t="s">
        <v>163</v>
      </c>
      <c r="E11" s="72" t="s">
        <v>1226</v>
      </c>
      <c r="F11" s="73">
        <v>97420345</v>
      </c>
      <c r="G11" s="73" t="s">
        <v>1227</v>
      </c>
      <c r="H11" s="71" t="s">
        <v>1180</v>
      </c>
      <c r="I11" s="71" t="s">
        <v>855</v>
      </c>
      <c r="J11" s="71" t="s">
        <v>1228</v>
      </c>
      <c r="K11" s="71" t="s">
        <v>1229</v>
      </c>
      <c r="L11" s="71" t="s">
        <v>234</v>
      </c>
      <c r="M11" s="2" t="s">
        <v>97</v>
      </c>
      <c r="N11" s="2" t="s">
        <v>1230</v>
      </c>
      <c r="O11" s="2" t="s">
        <v>1231</v>
      </c>
      <c r="P11" s="7" t="s">
        <v>234</v>
      </c>
    </row>
    <row r="12" spans="2:16">
      <c r="B12" s="69">
        <v>3</v>
      </c>
      <c r="C12" s="71" t="s">
        <v>1232</v>
      </c>
      <c r="D12" s="71" t="s">
        <v>163</v>
      </c>
      <c r="E12" s="72" t="s">
        <v>1233</v>
      </c>
      <c r="F12" s="73">
        <v>92375618</v>
      </c>
      <c r="G12" s="73" t="s">
        <v>1234</v>
      </c>
      <c r="H12" s="71"/>
      <c r="I12" s="71"/>
      <c r="J12" s="71"/>
      <c r="K12" s="71"/>
      <c r="L12" s="71"/>
      <c r="M12" s="2" t="s">
        <v>83</v>
      </c>
      <c r="N12" s="2" t="s">
        <v>0</v>
      </c>
      <c r="O12" s="2"/>
      <c r="P12" s="7"/>
    </row>
    <row r="13" spans="2:16">
      <c r="B13" s="69">
        <v>4</v>
      </c>
      <c r="C13" s="71" t="s">
        <v>1235</v>
      </c>
      <c r="D13" s="71" t="s">
        <v>183</v>
      </c>
      <c r="E13" s="72" t="s">
        <v>1236</v>
      </c>
      <c r="F13" s="73">
        <v>91076183</v>
      </c>
      <c r="G13" s="73" t="s">
        <v>1237</v>
      </c>
      <c r="H13" s="71"/>
      <c r="I13" s="71"/>
      <c r="J13" s="71"/>
      <c r="K13" s="71"/>
      <c r="L13" s="71"/>
      <c r="M13" s="2"/>
      <c r="N13" s="2" t="s">
        <v>0</v>
      </c>
      <c r="O13" s="2"/>
      <c r="P13" s="7"/>
    </row>
    <row r="14" spans="2:16">
      <c r="B14" s="69">
        <v>5</v>
      </c>
      <c r="C14" s="71" t="s">
        <v>1238</v>
      </c>
      <c r="D14" s="71" t="s">
        <v>163</v>
      </c>
      <c r="E14" s="72" t="s">
        <v>1239</v>
      </c>
      <c r="F14" s="73">
        <v>91816491</v>
      </c>
      <c r="G14" s="73" t="s">
        <v>1240</v>
      </c>
      <c r="H14" s="71" t="s">
        <v>1180</v>
      </c>
      <c r="I14" s="71" t="s">
        <v>855</v>
      </c>
      <c r="J14" s="71" t="s">
        <v>1241</v>
      </c>
      <c r="K14" s="71" t="s">
        <v>1242</v>
      </c>
      <c r="L14" s="71" t="s">
        <v>234</v>
      </c>
      <c r="M14" s="2" t="s">
        <v>89</v>
      </c>
      <c r="N14" s="2" t="s">
        <v>1243</v>
      </c>
      <c r="O14" s="2" t="s">
        <v>1244</v>
      </c>
      <c r="P14" s="7" t="s">
        <v>234</v>
      </c>
    </row>
    <row r="15" spans="2:16">
      <c r="B15" s="77">
        <v>6</v>
      </c>
      <c r="C15" s="75" t="s">
        <v>1245</v>
      </c>
      <c r="D15" s="75" t="s">
        <v>163</v>
      </c>
      <c r="E15" s="99" t="s">
        <v>1246</v>
      </c>
      <c r="F15" s="76">
        <v>98337813</v>
      </c>
      <c r="G15" s="73" t="s">
        <v>1247</v>
      </c>
      <c r="H15" s="71" t="s">
        <v>1180</v>
      </c>
      <c r="I15" s="75" t="s">
        <v>855</v>
      </c>
      <c r="J15" s="75" t="s">
        <v>1248</v>
      </c>
      <c r="K15" s="75" t="s">
        <v>1249</v>
      </c>
      <c r="L15" s="75" t="s">
        <v>548</v>
      </c>
      <c r="M15" s="2" t="s">
        <v>89</v>
      </c>
      <c r="N15" s="2" t="s">
        <v>1243</v>
      </c>
      <c r="O15" s="8" t="s">
        <v>1250</v>
      </c>
      <c r="P15" s="9" t="s">
        <v>1251</v>
      </c>
    </row>
  </sheetData>
  <sheetProtection algorithmName="SHA-512" hashValue="ZIw5p1GsWm2ho11g+AQ3FHR429lgdQV1F3ym0y2GwUDg1rR0BpDZXCsY+R4pflEfMxGursrRLPOiXRjlBnT5bQ==" saltValue="yRyWeD0csKWWcvIpJkynZQ==" spinCount="100000" sheet="1" objects="1" scenarios="1"/>
  <mergeCells count="5">
    <mergeCell ref="D2:L2"/>
    <mergeCell ref="D3:L3"/>
    <mergeCell ref="D4:L4"/>
    <mergeCell ref="D5:L5"/>
    <mergeCell ref="D6:L6"/>
  </mergeCells>
  <conditionalFormatting sqref="M10:M1048576">
    <cfRule type="cellIs" dxfId="147" priority="1" operator="equal">
      <formula>"[PE] Withdrawn"</formula>
    </cfRule>
    <cfRule type="cellIs" dxfId="146" priority="2" operator="equal">
      <formula>"[AE] Failed Screening Questions"</formula>
    </cfRule>
    <cfRule type="cellIs" dxfId="145" priority="3" operator="equal">
      <formula>"[AE] Failed Interview &amp; Provide Reasons"</formula>
    </cfRule>
    <cfRule type="cellIs" dxfId="144" priority="4" operator="equal">
      <formula>"[PE] KIV"</formula>
    </cfRule>
    <cfRule type="containsText" dxfId="143" priority="7" operator="containsText" text="[PE]">
      <formula>NOT(ISERROR(SEARCH("[PE]",M10)))</formula>
    </cfRule>
    <cfRule type="containsText" dxfId="142" priority="8" operator="containsText" text="[AE]">
      <formula>NOT(ISERROR(SEARCH("[AE]",M10)))</formula>
    </cfRule>
  </conditionalFormatting>
  <dataValidations count="3">
    <dataValidation type="list" allowBlank="1" showInputMessage="1" showErrorMessage="1" sqref="D10:D1048576" xr:uid="{00000000-0002-0000-0D00-000000000000}">
      <formula1>"Singaporean, SPR"</formula1>
    </dataValidation>
    <dataValidation type="list" allowBlank="1" showInputMessage="1" showErrorMessage="1" sqref="I10:I1048576" xr:uid="{00000000-0002-0000-0D00-000001000000}">
      <formula1>"Yes, No"</formula1>
    </dataValidation>
    <dataValidation type="list" allowBlank="1" showInputMessage="1" showErrorMessage="1" sqref="H10:H15" xr:uid="{00000000-0002-0000-0D00-000002000000}">
      <formula1>"Jessica"</formula1>
    </dataValidation>
  </dataValidations>
  <hyperlinks>
    <hyperlink ref="D3" r:id="rId1" xr:uid="{00000000-0004-0000-0D00-000000000000}"/>
    <hyperlink ref="E15" r:id="rId2" xr:uid="{00000000-0004-0000-0D00-000001000000}"/>
  </hyperlinks>
  <pageMargins left="0.7" right="0.7" top="0.75" bottom="0.75" header="0.3" footer="0.3"/>
  <pageSetup paperSize="9" orientation="portrait" horizontalDpi="4294967295" verticalDpi="4294967295"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3000000}">
          <x14:formula1>
            <xm:f>'Main Page'!$O$3:$O$14</xm:f>
          </x14:formula1>
          <xm:sqref>M10:M1048576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sheetPr>
  <dimension ref="A1:Q22"/>
  <sheetViews>
    <sheetView zoomScale="80" zoomScaleNormal="80" workbookViewId="0">
      <pane xSplit="3" topLeftCell="D8" activePane="topRight" state="frozen"/>
      <selection pane="topRight"/>
    </sheetView>
  </sheetViews>
  <sheetFormatPr defaultColWidth="8.7109375" defaultRowHeight="14.45"/>
  <cols>
    <col min="1" max="1" width="5.5703125" style="83" customWidth="1"/>
    <col min="2" max="2" width="5.85546875" style="87" customWidth="1"/>
    <col min="3" max="3" width="30.85546875" style="83" bestFit="1" customWidth="1"/>
    <col min="4" max="4" width="15.5703125" style="83" customWidth="1"/>
    <col min="5" max="5" width="16.5703125" style="83" hidden="1" customWidth="1"/>
    <col min="6" max="6" width="16.5703125" style="83" customWidth="1"/>
    <col min="7" max="7" width="80.28515625" style="83" hidden="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18.85546875" style="3" customWidth="1"/>
    <col min="14" max="14" width="23.42578125" style="3" customWidth="1"/>
    <col min="15" max="15" width="15.140625" style="3" customWidth="1"/>
    <col min="16" max="16" width="11.42578125" style="3" customWidth="1"/>
    <col min="17" max="17" width="50.5703125" style="3" customWidth="1"/>
    <col min="18" max="16384" width="8.7109375" style="3"/>
  </cols>
  <sheetData>
    <row r="1" spans="2:17" hidden="1">
      <c r="B1" s="83"/>
    </row>
    <row r="2" spans="2:17" ht="69.95" hidden="1" customHeight="1">
      <c r="B2" s="83"/>
      <c r="C2" s="84" t="s">
        <v>843</v>
      </c>
      <c r="D2" s="242" t="s">
        <v>1252</v>
      </c>
      <c r="E2" s="242"/>
      <c r="F2" s="239"/>
      <c r="G2" s="239"/>
      <c r="H2" s="239"/>
      <c r="I2" s="239"/>
      <c r="J2" s="239"/>
      <c r="K2" s="239"/>
      <c r="L2" s="239"/>
    </row>
    <row r="3" spans="2:17" hidden="1">
      <c r="B3" s="83"/>
      <c r="C3" s="85" t="s">
        <v>845</v>
      </c>
      <c r="D3" s="241" t="s">
        <v>1253</v>
      </c>
      <c r="E3" s="241"/>
      <c r="F3" s="241"/>
      <c r="G3" s="241"/>
      <c r="H3" s="241"/>
      <c r="I3" s="241"/>
      <c r="J3" s="241"/>
      <c r="K3" s="241"/>
      <c r="L3" s="241"/>
    </row>
    <row r="4" spans="2:17" hidden="1">
      <c r="B4" s="83"/>
      <c r="C4" s="85" t="s">
        <v>128</v>
      </c>
      <c r="D4" s="235" t="s">
        <v>1254</v>
      </c>
      <c r="E4" s="235"/>
      <c r="F4" s="235"/>
      <c r="G4" s="235"/>
      <c r="H4" s="235"/>
      <c r="I4" s="235"/>
      <c r="J4" s="235"/>
      <c r="K4" s="235"/>
      <c r="L4" s="235"/>
    </row>
    <row r="5" spans="2:17" hidden="1">
      <c r="B5" s="83"/>
      <c r="C5" s="85" t="s">
        <v>5</v>
      </c>
      <c r="D5" s="235" t="s">
        <v>34</v>
      </c>
      <c r="E5" s="235"/>
      <c r="F5" s="235"/>
      <c r="G5" s="235"/>
      <c r="H5" s="235"/>
      <c r="I5" s="235"/>
      <c r="J5" s="235"/>
      <c r="K5" s="235"/>
      <c r="L5" s="235"/>
    </row>
    <row r="6" spans="2:17" hidden="1">
      <c r="B6" s="83"/>
      <c r="C6" s="85" t="s">
        <v>62</v>
      </c>
      <c r="D6" s="236" t="s">
        <v>34</v>
      </c>
      <c r="E6" s="237"/>
      <c r="F6" s="237"/>
      <c r="G6" s="237"/>
      <c r="H6" s="237"/>
      <c r="I6" s="237"/>
      <c r="J6" s="237"/>
      <c r="K6" s="237"/>
      <c r="L6" s="238"/>
    </row>
    <row r="7" spans="2:17" hidden="1">
      <c r="B7" s="83"/>
      <c r="C7" s="86"/>
    </row>
    <row r="8" spans="2:17">
      <c r="B8" s="83"/>
    </row>
    <row r="9" spans="2:17" ht="57.95">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c r="Q9" s="58" t="s">
        <v>1023</v>
      </c>
    </row>
    <row r="10" spans="2:17">
      <c r="B10" s="69">
        <v>1</v>
      </c>
      <c r="C10" s="71" t="s">
        <v>1255</v>
      </c>
      <c r="D10" s="71" t="s">
        <v>163</v>
      </c>
      <c r="E10" s="72" t="s">
        <v>1256</v>
      </c>
      <c r="F10" s="73">
        <v>90270296</v>
      </c>
      <c r="G10" s="73" t="s">
        <v>1257</v>
      </c>
      <c r="H10" s="71" t="s">
        <v>1258</v>
      </c>
      <c r="I10" s="71" t="s">
        <v>951</v>
      </c>
      <c r="J10" s="71" t="s">
        <v>1259</v>
      </c>
      <c r="K10" s="71" t="s">
        <v>1260</v>
      </c>
      <c r="L10" s="71" t="s">
        <v>1028</v>
      </c>
      <c r="M10" s="2" t="s">
        <v>75</v>
      </c>
      <c r="N10" s="2" t="s">
        <v>1261</v>
      </c>
      <c r="O10" s="2"/>
      <c r="P10" s="7"/>
      <c r="Q10" s="10" t="s">
        <v>1262</v>
      </c>
    </row>
    <row r="11" spans="2:17">
      <c r="B11" s="69">
        <v>2</v>
      </c>
      <c r="C11" s="71" t="s">
        <v>1263</v>
      </c>
      <c r="D11" s="71" t="s">
        <v>163</v>
      </c>
      <c r="E11" s="72" t="s">
        <v>1264</v>
      </c>
      <c r="F11" s="73">
        <v>87542962</v>
      </c>
      <c r="G11" s="73" t="s">
        <v>1265</v>
      </c>
      <c r="H11" s="71"/>
      <c r="I11" s="71"/>
      <c r="J11" s="71"/>
      <c r="K11" s="71"/>
      <c r="L11" s="71"/>
      <c r="M11" s="2" t="s">
        <v>79</v>
      </c>
      <c r="N11" s="2" t="s">
        <v>1266</v>
      </c>
      <c r="O11" s="2"/>
      <c r="P11" s="7"/>
      <c r="Q11" s="10"/>
    </row>
    <row r="12" spans="2:17">
      <c r="B12" s="69">
        <v>3</v>
      </c>
      <c r="C12" s="71" t="s">
        <v>1267</v>
      </c>
      <c r="D12" s="71" t="s">
        <v>183</v>
      </c>
      <c r="E12" s="72" t="s">
        <v>1268</v>
      </c>
      <c r="F12" s="73">
        <v>91804516</v>
      </c>
      <c r="G12" s="73" t="s">
        <v>1269</v>
      </c>
      <c r="H12" s="71"/>
      <c r="I12" s="71"/>
      <c r="J12" s="71"/>
      <c r="K12" s="71"/>
      <c r="L12" s="71"/>
      <c r="M12" s="2" t="s">
        <v>83</v>
      </c>
      <c r="N12" s="2"/>
      <c r="O12" s="2"/>
      <c r="P12" s="7"/>
      <c r="Q12" s="10"/>
    </row>
    <row r="13" spans="2:17">
      <c r="B13" s="69">
        <v>4</v>
      </c>
      <c r="C13" s="71" t="s">
        <v>1270</v>
      </c>
      <c r="D13" s="71" t="s">
        <v>163</v>
      </c>
      <c r="E13" s="72" t="s">
        <v>1271</v>
      </c>
      <c r="F13" s="73">
        <v>98170890</v>
      </c>
      <c r="G13" s="73" t="s">
        <v>1272</v>
      </c>
      <c r="H13" s="71" t="s">
        <v>34</v>
      </c>
      <c r="I13" s="71" t="s">
        <v>855</v>
      </c>
      <c r="J13" s="71" t="s">
        <v>1273</v>
      </c>
      <c r="K13" s="71" t="s">
        <v>1274</v>
      </c>
      <c r="L13" s="71"/>
      <c r="M13" s="2" t="s">
        <v>75</v>
      </c>
      <c r="N13" s="2" t="s">
        <v>1275</v>
      </c>
      <c r="O13" s="2"/>
      <c r="P13" s="7"/>
      <c r="Q13" s="10" t="s">
        <v>1276</v>
      </c>
    </row>
    <row r="14" spans="2:17">
      <c r="B14" s="69">
        <v>5</v>
      </c>
      <c r="C14" s="71" t="s">
        <v>1277</v>
      </c>
      <c r="D14" s="71" t="s">
        <v>163</v>
      </c>
      <c r="E14" s="72" t="s">
        <v>1278</v>
      </c>
      <c r="F14" s="73">
        <v>92264687</v>
      </c>
      <c r="G14" s="73" t="s">
        <v>1279</v>
      </c>
      <c r="H14" s="71" t="s">
        <v>34</v>
      </c>
      <c r="I14" s="71" t="s">
        <v>855</v>
      </c>
      <c r="J14" s="71"/>
      <c r="K14" s="71"/>
      <c r="L14" s="71"/>
      <c r="M14" s="2" t="s">
        <v>86</v>
      </c>
      <c r="N14" s="2"/>
      <c r="O14" s="2"/>
      <c r="P14" s="7"/>
      <c r="Q14" s="10" t="s">
        <v>1280</v>
      </c>
    </row>
    <row r="15" spans="2:17">
      <c r="B15" s="69">
        <v>6</v>
      </c>
      <c r="C15" s="75" t="s">
        <v>1281</v>
      </c>
      <c r="D15" s="75" t="s">
        <v>163</v>
      </c>
      <c r="E15" s="72" t="s">
        <v>1282</v>
      </c>
      <c r="F15" s="76">
        <v>90181288</v>
      </c>
      <c r="G15" s="73" t="s">
        <v>1283</v>
      </c>
      <c r="H15" s="75" t="s">
        <v>34</v>
      </c>
      <c r="I15" s="75" t="s">
        <v>855</v>
      </c>
      <c r="J15" s="75" t="s">
        <v>1284</v>
      </c>
      <c r="K15" s="75" t="s">
        <v>1285</v>
      </c>
      <c r="L15" s="75" t="s">
        <v>1028</v>
      </c>
      <c r="M15" s="8" t="s">
        <v>75</v>
      </c>
      <c r="N15" s="2" t="s">
        <v>1286</v>
      </c>
      <c r="O15" s="8"/>
      <c r="P15" s="9"/>
      <c r="Q15" s="10" t="s">
        <v>1287</v>
      </c>
    </row>
    <row r="16" spans="2:17">
      <c r="B16" s="69">
        <v>7</v>
      </c>
      <c r="C16" s="71" t="s">
        <v>1288</v>
      </c>
      <c r="D16" s="71" t="s">
        <v>163</v>
      </c>
      <c r="E16" s="72" t="s">
        <v>1289</v>
      </c>
      <c r="F16" s="73">
        <v>82823538</v>
      </c>
      <c r="G16" s="73" t="s">
        <v>1290</v>
      </c>
      <c r="H16" s="71" t="s">
        <v>1258</v>
      </c>
      <c r="I16" s="71" t="s">
        <v>1291</v>
      </c>
      <c r="J16" s="71" t="s">
        <v>1292</v>
      </c>
      <c r="K16" s="71" t="s">
        <v>1285</v>
      </c>
      <c r="L16" s="71" t="s">
        <v>1028</v>
      </c>
      <c r="M16" s="2" t="s">
        <v>75</v>
      </c>
      <c r="N16" s="2" t="s">
        <v>1275</v>
      </c>
      <c r="O16" s="2"/>
      <c r="P16" s="7"/>
      <c r="Q16" s="10" t="s">
        <v>1293</v>
      </c>
    </row>
    <row r="17" spans="2:17">
      <c r="B17" s="69">
        <v>8</v>
      </c>
      <c r="C17" s="71" t="s">
        <v>1294</v>
      </c>
      <c r="D17" s="71" t="s">
        <v>163</v>
      </c>
      <c r="E17" s="72" t="s">
        <v>1295</v>
      </c>
      <c r="F17" s="73">
        <v>93895662</v>
      </c>
      <c r="G17" s="73" t="s">
        <v>1296</v>
      </c>
      <c r="H17" s="71" t="s">
        <v>1258</v>
      </c>
      <c r="I17" s="71" t="s">
        <v>1291</v>
      </c>
      <c r="J17" s="71" t="s">
        <v>1297</v>
      </c>
      <c r="K17" s="71" t="s">
        <v>1298</v>
      </c>
      <c r="L17" s="71" t="s">
        <v>1028</v>
      </c>
      <c r="M17" s="2" t="s">
        <v>75</v>
      </c>
      <c r="N17" s="2" t="s">
        <v>1299</v>
      </c>
      <c r="O17" s="2"/>
      <c r="P17" s="7"/>
      <c r="Q17" s="10" t="s">
        <v>1300</v>
      </c>
    </row>
    <row r="18" spans="2:17">
      <c r="B18" s="69">
        <v>9</v>
      </c>
      <c r="C18" s="71" t="s">
        <v>1301</v>
      </c>
      <c r="D18" s="71" t="s">
        <v>163</v>
      </c>
      <c r="E18" s="72" t="s">
        <v>1302</v>
      </c>
      <c r="F18" s="73">
        <v>92984101</v>
      </c>
      <c r="G18" s="73" t="s">
        <v>1303</v>
      </c>
      <c r="H18" s="71" t="s">
        <v>1258</v>
      </c>
      <c r="I18" s="71" t="s">
        <v>855</v>
      </c>
      <c r="J18" s="71" t="s">
        <v>1304</v>
      </c>
      <c r="K18" s="71" t="s">
        <v>1305</v>
      </c>
      <c r="L18" s="71" t="s">
        <v>1028</v>
      </c>
      <c r="M18" s="2" t="s">
        <v>75</v>
      </c>
      <c r="N18" s="2" t="s">
        <v>1275</v>
      </c>
      <c r="O18" s="2"/>
      <c r="P18" s="7"/>
      <c r="Q18" s="10" t="s">
        <v>1306</v>
      </c>
    </row>
    <row r="19" spans="2:17">
      <c r="B19" s="69">
        <v>10</v>
      </c>
      <c r="C19" s="71" t="s">
        <v>1307</v>
      </c>
      <c r="D19" s="71" t="s">
        <v>163</v>
      </c>
      <c r="E19" s="72" t="s">
        <v>1308</v>
      </c>
      <c r="F19" s="73">
        <v>98188830</v>
      </c>
      <c r="G19" s="73" t="s">
        <v>1309</v>
      </c>
      <c r="H19" s="71" t="s">
        <v>34</v>
      </c>
      <c r="I19" s="71" t="s">
        <v>855</v>
      </c>
      <c r="J19" s="71" t="s">
        <v>1310</v>
      </c>
      <c r="K19" s="71" t="s">
        <v>1285</v>
      </c>
      <c r="L19" s="71"/>
      <c r="M19" s="2" t="s">
        <v>75</v>
      </c>
      <c r="N19" s="2" t="s">
        <v>1299</v>
      </c>
      <c r="O19" s="2"/>
      <c r="P19" s="7"/>
      <c r="Q19" s="10" t="s">
        <v>1311</v>
      </c>
    </row>
    <row r="20" spans="2:17">
      <c r="B20" s="69">
        <v>11</v>
      </c>
      <c r="C20" s="71" t="s">
        <v>1312</v>
      </c>
      <c r="D20" s="71" t="s">
        <v>163</v>
      </c>
      <c r="E20" s="72" t="s">
        <v>1313</v>
      </c>
      <c r="F20" s="73">
        <v>84987925</v>
      </c>
      <c r="G20" s="73" t="s">
        <v>1314</v>
      </c>
      <c r="H20" s="71" t="s">
        <v>34</v>
      </c>
      <c r="I20" s="71" t="s">
        <v>951</v>
      </c>
      <c r="J20" s="71"/>
      <c r="K20" s="71"/>
      <c r="L20" s="71"/>
      <c r="M20" s="2" t="s">
        <v>79</v>
      </c>
      <c r="N20" s="2" t="s">
        <v>1315</v>
      </c>
      <c r="O20" s="2"/>
      <c r="P20" s="7"/>
      <c r="Q20" s="10" t="s">
        <v>1316</v>
      </c>
    </row>
    <row r="21" spans="2:17">
      <c r="B21" s="69">
        <v>12</v>
      </c>
      <c r="C21" s="97" t="s">
        <v>1317</v>
      </c>
      <c r="D21" s="71" t="s">
        <v>163</v>
      </c>
      <c r="E21" s="98" t="s">
        <v>1318</v>
      </c>
      <c r="F21" s="73">
        <v>81428849</v>
      </c>
      <c r="G21" s="73" t="s">
        <v>1319</v>
      </c>
      <c r="H21" s="71"/>
      <c r="I21" s="71"/>
      <c r="J21" s="71"/>
      <c r="K21" s="71"/>
      <c r="L21" s="71"/>
      <c r="M21" s="2"/>
      <c r="N21" s="53" t="s">
        <v>1320</v>
      </c>
      <c r="O21" s="2"/>
      <c r="P21" s="7"/>
      <c r="Q21" s="10"/>
    </row>
    <row r="22" spans="2:17">
      <c r="B22" s="69">
        <v>13</v>
      </c>
      <c r="C22" s="71" t="s">
        <v>1321</v>
      </c>
      <c r="D22" s="71" t="s">
        <v>183</v>
      </c>
      <c r="E22" s="72" t="s">
        <v>1322</v>
      </c>
      <c r="F22" s="73">
        <v>96142501</v>
      </c>
      <c r="G22" s="73" t="s">
        <v>1323</v>
      </c>
      <c r="H22" s="71" t="s">
        <v>1258</v>
      </c>
      <c r="I22" s="71" t="s">
        <v>855</v>
      </c>
      <c r="J22" s="71" t="s">
        <v>1324</v>
      </c>
      <c r="K22" s="71" t="s">
        <v>1325</v>
      </c>
      <c r="L22" s="71" t="s">
        <v>1028</v>
      </c>
      <c r="M22" s="2" t="s">
        <v>75</v>
      </c>
      <c r="N22" s="2" t="s">
        <v>1326</v>
      </c>
      <c r="O22" s="2"/>
      <c r="P22" s="7"/>
      <c r="Q22" s="12" t="s">
        <v>1327</v>
      </c>
    </row>
  </sheetData>
  <sheetProtection algorithmName="SHA-512" hashValue="ZlrXY2IBd+luDktXNPTBcYUIgMAZPH57Y3AAgKncrkDQCVMFwRf0Womosn2bgEj4mA+r9uj4WxPt4Bn9M5QpKg==" saltValue="pggjcvzVmW3UJhyoMIjkOQ==" spinCount="100000" sheet="1" objects="1" scenarios="1"/>
  <mergeCells count="5">
    <mergeCell ref="D2:L2"/>
    <mergeCell ref="D3:L3"/>
    <mergeCell ref="D4:L4"/>
    <mergeCell ref="D5:L5"/>
    <mergeCell ref="D6:L6"/>
  </mergeCells>
  <conditionalFormatting sqref="M10:M1048576">
    <cfRule type="cellIs" dxfId="121" priority="1" operator="equal">
      <formula>"[PE] Withdrawn"</formula>
    </cfRule>
    <cfRule type="cellIs" dxfId="120" priority="2" operator="equal">
      <formula>"[AE] Failed Screening Questions"</formula>
    </cfRule>
    <cfRule type="cellIs" dxfId="119" priority="3" operator="equal">
      <formula>"[AE] Failed Interview &amp; Provide Reasons"</formula>
    </cfRule>
    <cfRule type="cellIs" dxfId="118" priority="4" operator="equal">
      <formula>"[PE] KIV"</formula>
    </cfRule>
    <cfRule type="containsText" dxfId="117" priority="10" operator="containsText" text="[PE]">
      <formula>NOT(ISERROR(SEARCH("[PE]",M10)))</formula>
    </cfRule>
    <cfRule type="containsText" dxfId="116" priority="11" operator="containsText" text="[AE]">
      <formula>NOT(ISERROR(SEARCH("[AE]",M10)))</formula>
    </cfRule>
  </conditionalFormatting>
  <dataValidations count="3">
    <dataValidation type="list" allowBlank="1" showInputMessage="1" showErrorMessage="1" sqref="D10:D1048576" xr:uid="{00000000-0002-0000-0E00-000000000000}">
      <formula1>"Singaporean, SPR"</formula1>
    </dataValidation>
    <dataValidation type="list" allowBlank="1" showInputMessage="1" showErrorMessage="1" sqref="I10:I1048576" xr:uid="{00000000-0002-0000-0E00-000001000000}">
      <formula1>"Yes, No"</formula1>
    </dataValidation>
    <dataValidation type="list" allowBlank="1" showInputMessage="1" showErrorMessage="1" sqref="H10:H1048576" xr:uid="{00000000-0002-0000-0E00-000002000000}">
      <formula1>"Yan Yee, Edward, Keely, Donny, Ace, Joyce, Amanda, Jaclyn, Charlotte, Jiaxin, Mandy"</formula1>
    </dataValidation>
  </dataValidations>
  <hyperlinks>
    <hyperlink ref="D3" r:id="rId1" xr:uid="{00000000-0004-0000-0E00-000000000000}"/>
  </hyperlinks>
  <pageMargins left="0.7" right="0.7" top="0.75" bottom="0.75" header="0.3" footer="0.3"/>
  <pageSetup paperSize="9" orientation="portrait" horizontalDpi="4294967295" verticalDpi="4294967295"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3000000}">
          <x14:formula1>
            <xm:f>'Main Page'!$O$3:$O$14</xm:f>
          </x14:formula1>
          <xm:sqref>M10:M1048576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sheetPr>
  <dimension ref="A1:Q27"/>
  <sheetViews>
    <sheetView topLeftCell="A8" zoomScale="80" zoomScaleNormal="80" workbookViewId="0">
      <selection activeCell="M18" sqref="M18"/>
    </sheetView>
  </sheetViews>
  <sheetFormatPr defaultColWidth="8.7109375" defaultRowHeight="14.45"/>
  <cols>
    <col min="1" max="1" width="5.5703125" style="83" customWidth="1"/>
    <col min="2" max="2" width="5.85546875" style="87" customWidth="1"/>
    <col min="3" max="3" width="38" style="83" bestFit="1" customWidth="1"/>
    <col min="4" max="4" width="15.5703125" style="83" customWidth="1"/>
    <col min="5" max="5" width="25.85546875" style="83" hidden="1" customWidth="1"/>
    <col min="6" max="6" width="16.5703125" style="83" customWidth="1"/>
    <col min="7" max="7" width="50.5703125" style="83" hidden="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18.85546875" style="3" customWidth="1"/>
    <col min="14" max="14" width="23.42578125" style="3" customWidth="1"/>
    <col min="15" max="15" width="15.140625" style="3" customWidth="1"/>
    <col min="16" max="16" width="11.42578125" style="3" customWidth="1"/>
    <col min="17" max="16384" width="8.7109375" style="3"/>
  </cols>
  <sheetData>
    <row r="1" spans="2:17" hidden="1">
      <c r="B1" s="83"/>
    </row>
    <row r="2" spans="2:17" ht="30" hidden="1" customHeight="1">
      <c r="B2" s="83"/>
      <c r="C2" s="84" t="s">
        <v>843</v>
      </c>
      <c r="D2" s="242" t="s">
        <v>1328</v>
      </c>
      <c r="E2" s="242"/>
      <c r="F2" s="239"/>
      <c r="G2" s="239"/>
      <c r="H2" s="239"/>
      <c r="I2" s="239"/>
      <c r="J2" s="239"/>
      <c r="K2" s="239"/>
      <c r="L2" s="239"/>
    </row>
    <row r="3" spans="2:17" hidden="1">
      <c r="B3" s="83"/>
      <c r="C3" s="85" t="s">
        <v>845</v>
      </c>
      <c r="D3" s="241" t="s">
        <v>1329</v>
      </c>
      <c r="E3" s="241"/>
      <c r="F3" s="241"/>
      <c r="G3" s="241"/>
      <c r="H3" s="241"/>
      <c r="I3" s="241"/>
      <c r="J3" s="241"/>
      <c r="K3" s="241"/>
      <c r="L3" s="241"/>
    </row>
    <row r="4" spans="2:17" hidden="1">
      <c r="B4" s="83"/>
      <c r="C4" s="85" t="s">
        <v>128</v>
      </c>
      <c r="D4" s="235" t="s">
        <v>979</v>
      </c>
      <c r="E4" s="235"/>
      <c r="F4" s="235"/>
      <c r="G4" s="235"/>
      <c r="H4" s="235"/>
      <c r="I4" s="235"/>
      <c r="J4" s="235"/>
      <c r="K4" s="235"/>
      <c r="L4" s="235"/>
    </row>
    <row r="5" spans="2:17" hidden="1">
      <c r="B5" s="83"/>
      <c r="C5" s="85" t="s">
        <v>5</v>
      </c>
      <c r="D5" s="235" t="s">
        <v>52</v>
      </c>
      <c r="E5" s="235"/>
      <c r="F5" s="235"/>
      <c r="G5" s="235"/>
      <c r="H5" s="235"/>
      <c r="I5" s="235"/>
      <c r="J5" s="235"/>
      <c r="K5" s="235"/>
      <c r="L5" s="235"/>
    </row>
    <row r="6" spans="2:17" hidden="1">
      <c r="B6" s="83"/>
      <c r="C6" s="85" t="s">
        <v>62</v>
      </c>
      <c r="D6" s="236" t="s">
        <v>114</v>
      </c>
      <c r="E6" s="237"/>
      <c r="F6" s="237"/>
      <c r="G6" s="237"/>
      <c r="H6" s="237"/>
      <c r="I6" s="237"/>
      <c r="J6" s="237"/>
      <c r="K6" s="237"/>
      <c r="L6" s="238"/>
    </row>
    <row r="7" spans="2:17" hidden="1">
      <c r="B7" s="83"/>
      <c r="C7" s="86"/>
    </row>
    <row r="8" spans="2:17">
      <c r="B8" s="83"/>
    </row>
    <row r="9" spans="2:17" ht="57.95">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c r="Q9" s="58" t="s">
        <v>1330</v>
      </c>
    </row>
    <row r="10" spans="2:17">
      <c r="B10" s="69">
        <v>1</v>
      </c>
      <c r="C10" s="71" t="s">
        <v>1331</v>
      </c>
      <c r="D10" s="71" t="s">
        <v>163</v>
      </c>
      <c r="E10" s="72" t="s">
        <v>1332</v>
      </c>
      <c r="F10" s="73">
        <v>98237765</v>
      </c>
      <c r="G10" s="73" t="s">
        <v>1333</v>
      </c>
      <c r="H10" s="71" t="s">
        <v>32</v>
      </c>
      <c r="I10" s="71" t="s">
        <v>855</v>
      </c>
      <c r="J10" s="73">
        <v>6100</v>
      </c>
      <c r="K10" s="73" t="s">
        <v>1334</v>
      </c>
      <c r="L10" s="73" t="s">
        <v>1335</v>
      </c>
      <c r="M10" s="2" t="s">
        <v>71</v>
      </c>
      <c r="N10" s="2" t="s">
        <v>1336</v>
      </c>
      <c r="O10" s="2"/>
      <c r="P10" s="7"/>
      <c r="Q10" s="61"/>
    </row>
    <row r="11" spans="2:17">
      <c r="B11" s="69">
        <v>2</v>
      </c>
      <c r="C11" s="71" t="s">
        <v>1337</v>
      </c>
      <c r="D11" s="71" t="s">
        <v>163</v>
      </c>
      <c r="E11" s="72" t="s">
        <v>1338</v>
      </c>
      <c r="F11" s="73">
        <v>91719148</v>
      </c>
      <c r="G11" s="73" t="s">
        <v>1339</v>
      </c>
      <c r="H11" s="71" t="s">
        <v>32</v>
      </c>
      <c r="I11" s="71" t="s">
        <v>855</v>
      </c>
      <c r="J11" s="73">
        <v>4800</v>
      </c>
      <c r="K11" s="73">
        <v>4800</v>
      </c>
      <c r="L11" s="73" t="s">
        <v>548</v>
      </c>
      <c r="M11" s="2" t="s">
        <v>86</v>
      </c>
      <c r="N11" s="2" t="s">
        <v>1340</v>
      </c>
      <c r="O11" s="2"/>
      <c r="P11" s="7"/>
      <c r="Q11" s="10"/>
    </row>
    <row r="12" spans="2:17">
      <c r="B12" s="69">
        <v>3</v>
      </c>
      <c r="C12" s="71" t="s">
        <v>1341</v>
      </c>
      <c r="D12" s="71" t="s">
        <v>163</v>
      </c>
      <c r="E12" s="72" t="s">
        <v>1342</v>
      </c>
      <c r="F12" s="73">
        <v>82337699</v>
      </c>
      <c r="G12" s="73" t="s">
        <v>1343</v>
      </c>
      <c r="H12" s="71"/>
      <c r="I12" s="71"/>
      <c r="J12" s="73"/>
      <c r="K12" s="73"/>
      <c r="L12" s="73"/>
      <c r="M12" s="2"/>
      <c r="N12" s="2"/>
      <c r="O12" s="2"/>
      <c r="P12" s="7"/>
      <c r="Q12" s="10"/>
    </row>
    <row r="13" spans="2:17">
      <c r="B13" s="69">
        <v>4</v>
      </c>
      <c r="C13" s="71" t="s">
        <v>1344</v>
      </c>
      <c r="D13" s="71" t="s">
        <v>163</v>
      </c>
      <c r="E13" s="72" t="s">
        <v>1345</v>
      </c>
      <c r="F13" s="73">
        <v>94750573</v>
      </c>
      <c r="G13" s="73" t="s">
        <v>1346</v>
      </c>
      <c r="H13" s="71"/>
      <c r="I13" s="71"/>
      <c r="J13" s="73"/>
      <c r="K13" s="73"/>
      <c r="L13" s="73"/>
      <c r="M13" s="2" t="s">
        <v>83</v>
      </c>
      <c r="N13" s="2"/>
      <c r="O13" s="2"/>
      <c r="P13" s="7"/>
      <c r="Q13" s="10"/>
    </row>
    <row r="14" spans="2:17">
      <c r="B14" s="69">
        <v>5</v>
      </c>
      <c r="C14" s="71" t="s">
        <v>1347</v>
      </c>
      <c r="D14" s="71" t="s">
        <v>163</v>
      </c>
      <c r="E14" s="72" t="s">
        <v>1348</v>
      </c>
      <c r="F14" s="73">
        <v>85114455</v>
      </c>
      <c r="G14" s="73" t="s">
        <v>1349</v>
      </c>
      <c r="H14" s="71" t="s">
        <v>32</v>
      </c>
      <c r="I14" s="71" t="s">
        <v>855</v>
      </c>
      <c r="J14" s="73">
        <v>3500</v>
      </c>
      <c r="K14" s="73" t="s">
        <v>1350</v>
      </c>
      <c r="L14" s="73" t="s">
        <v>548</v>
      </c>
      <c r="M14" s="2" t="s">
        <v>89</v>
      </c>
      <c r="N14" s="2" t="s">
        <v>1351</v>
      </c>
      <c r="O14" s="2"/>
      <c r="P14" s="7"/>
      <c r="Q14" s="10"/>
    </row>
    <row r="15" spans="2:17">
      <c r="B15" s="69">
        <v>6</v>
      </c>
      <c r="C15" s="75" t="s">
        <v>1352</v>
      </c>
      <c r="D15" s="75" t="s">
        <v>163</v>
      </c>
      <c r="E15" s="72" t="s">
        <v>1353</v>
      </c>
      <c r="F15" s="76">
        <v>98207115</v>
      </c>
      <c r="G15" s="73" t="s">
        <v>1354</v>
      </c>
      <c r="H15" s="75" t="s">
        <v>52</v>
      </c>
      <c r="I15" s="75" t="s">
        <v>855</v>
      </c>
      <c r="J15" s="75" t="s">
        <v>1355</v>
      </c>
      <c r="K15" s="75" t="s">
        <v>1356</v>
      </c>
      <c r="L15" s="75" t="s">
        <v>234</v>
      </c>
      <c r="M15" s="8" t="s">
        <v>89</v>
      </c>
      <c r="N15" s="8" t="s">
        <v>1357</v>
      </c>
      <c r="O15" s="8"/>
      <c r="P15" s="9"/>
      <c r="Q15" s="10"/>
    </row>
    <row r="16" spans="2:17">
      <c r="B16" s="69">
        <v>7</v>
      </c>
      <c r="C16" s="71" t="s">
        <v>1358</v>
      </c>
      <c r="D16" s="71" t="s">
        <v>163</v>
      </c>
      <c r="E16" s="72" t="s">
        <v>1359</v>
      </c>
      <c r="F16" s="73">
        <v>97594915</v>
      </c>
      <c r="G16" s="73" t="s">
        <v>1360</v>
      </c>
      <c r="H16" s="71" t="s">
        <v>32</v>
      </c>
      <c r="I16" s="71" t="s">
        <v>855</v>
      </c>
      <c r="J16" s="73">
        <v>5200</v>
      </c>
      <c r="K16" s="73">
        <v>3500</v>
      </c>
      <c r="L16" s="73" t="s">
        <v>548</v>
      </c>
      <c r="M16" s="2" t="s">
        <v>89</v>
      </c>
      <c r="N16" s="2" t="s">
        <v>1361</v>
      </c>
      <c r="O16" s="2"/>
      <c r="P16" s="7"/>
      <c r="Q16" s="10"/>
    </row>
    <row r="17" spans="2:17">
      <c r="B17" s="69">
        <v>8</v>
      </c>
      <c r="C17" s="71" t="s">
        <v>1362</v>
      </c>
      <c r="D17" s="71" t="s">
        <v>163</v>
      </c>
      <c r="E17" s="72" t="s">
        <v>1363</v>
      </c>
      <c r="F17" s="73">
        <v>91450836</v>
      </c>
      <c r="G17" s="73" t="s">
        <v>1364</v>
      </c>
      <c r="H17" s="71"/>
      <c r="I17" s="71"/>
      <c r="J17" s="73"/>
      <c r="K17" s="73"/>
      <c r="L17" s="73"/>
      <c r="M17" s="2" t="s">
        <v>83</v>
      </c>
      <c r="N17" s="2"/>
      <c r="O17" s="2"/>
      <c r="P17" s="7"/>
      <c r="Q17" s="10"/>
    </row>
    <row r="18" spans="2:17">
      <c r="B18" s="69">
        <v>9</v>
      </c>
      <c r="C18" s="71" t="s">
        <v>1365</v>
      </c>
      <c r="D18" s="71" t="s">
        <v>163</v>
      </c>
      <c r="E18" s="72" t="s">
        <v>1366</v>
      </c>
      <c r="F18" s="73">
        <v>91996667</v>
      </c>
      <c r="G18" s="73" t="s">
        <v>1367</v>
      </c>
      <c r="H18" s="71" t="s">
        <v>52</v>
      </c>
      <c r="I18" s="71" t="s">
        <v>855</v>
      </c>
      <c r="J18" s="71" t="s">
        <v>1368</v>
      </c>
      <c r="K18" s="71" t="s">
        <v>1089</v>
      </c>
      <c r="L18" s="71" t="s">
        <v>548</v>
      </c>
      <c r="M18" s="2" t="s">
        <v>89</v>
      </c>
      <c r="N18" s="2" t="s">
        <v>1369</v>
      </c>
      <c r="O18" s="2"/>
      <c r="P18" s="7"/>
      <c r="Q18" s="10"/>
    </row>
    <row r="19" spans="2:17">
      <c r="B19" s="69">
        <v>10</v>
      </c>
      <c r="C19" s="71" t="s">
        <v>1370</v>
      </c>
      <c r="D19" s="71" t="s">
        <v>163</v>
      </c>
      <c r="E19" s="72" t="s">
        <v>1371</v>
      </c>
      <c r="F19" s="73">
        <v>94875001</v>
      </c>
      <c r="G19" s="73" t="s">
        <v>1372</v>
      </c>
      <c r="H19" s="71" t="s">
        <v>32</v>
      </c>
      <c r="I19" s="71" t="s">
        <v>855</v>
      </c>
      <c r="J19" s="73">
        <v>3000</v>
      </c>
      <c r="K19" s="73"/>
      <c r="L19" s="73" t="s">
        <v>548</v>
      </c>
      <c r="M19" s="2" t="s">
        <v>89</v>
      </c>
      <c r="N19" s="2" t="s">
        <v>1373</v>
      </c>
      <c r="O19" s="2"/>
      <c r="P19" s="7"/>
      <c r="Q19" s="10"/>
    </row>
    <row r="20" spans="2:17">
      <c r="B20" s="69">
        <v>11</v>
      </c>
      <c r="C20" s="71" t="s">
        <v>1374</v>
      </c>
      <c r="D20" s="71" t="s">
        <v>163</v>
      </c>
      <c r="E20" s="72" t="s">
        <v>1375</v>
      </c>
      <c r="F20" s="73">
        <v>81258036</v>
      </c>
      <c r="G20" s="73" t="s">
        <v>1376</v>
      </c>
      <c r="H20" s="71"/>
      <c r="I20" s="71"/>
      <c r="J20" s="73"/>
      <c r="K20" s="73"/>
      <c r="L20" s="73"/>
      <c r="M20" s="2"/>
      <c r="N20" s="2"/>
      <c r="O20" s="2"/>
      <c r="P20" s="7"/>
      <c r="Q20" s="10"/>
    </row>
    <row r="21" spans="2:17">
      <c r="B21" s="69">
        <v>12</v>
      </c>
      <c r="C21" s="71" t="s">
        <v>1377</v>
      </c>
      <c r="D21" s="71" t="s">
        <v>163</v>
      </c>
      <c r="E21" s="72" t="s">
        <v>1378</v>
      </c>
      <c r="F21" s="73">
        <v>88288988</v>
      </c>
      <c r="G21" s="73" t="s">
        <v>1379</v>
      </c>
      <c r="H21" s="71" t="s">
        <v>52</v>
      </c>
      <c r="I21" s="71" t="s">
        <v>855</v>
      </c>
      <c r="J21" s="71" t="s">
        <v>1380</v>
      </c>
      <c r="K21" s="71" t="s">
        <v>1381</v>
      </c>
      <c r="L21" s="71" t="s">
        <v>548</v>
      </c>
      <c r="M21" s="2" t="s">
        <v>86</v>
      </c>
      <c r="N21" s="2" t="s">
        <v>1382</v>
      </c>
      <c r="O21" s="2"/>
      <c r="P21" s="7"/>
      <c r="Q21" s="10"/>
    </row>
    <row r="22" spans="2:17">
      <c r="B22" s="69">
        <v>13</v>
      </c>
      <c r="C22" s="71" t="s">
        <v>1383</v>
      </c>
      <c r="D22" s="71" t="s">
        <v>163</v>
      </c>
      <c r="E22" s="72" t="s">
        <v>1384</v>
      </c>
      <c r="F22" s="73">
        <v>81813176</v>
      </c>
      <c r="G22" s="73" t="s">
        <v>1385</v>
      </c>
      <c r="H22" s="71" t="s">
        <v>52</v>
      </c>
      <c r="I22" s="71" t="s">
        <v>855</v>
      </c>
      <c r="J22" s="71" t="s">
        <v>1386</v>
      </c>
      <c r="K22" s="71" t="s">
        <v>1386</v>
      </c>
      <c r="L22" s="71" t="s">
        <v>234</v>
      </c>
      <c r="M22" s="2" t="s">
        <v>86</v>
      </c>
      <c r="N22" s="2" t="s">
        <v>1387</v>
      </c>
      <c r="O22" s="2"/>
      <c r="P22" s="7"/>
      <c r="Q22" s="10"/>
    </row>
    <row r="23" spans="2:17">
      <c r="B23" s="69">
        <v>14</v>
      </c>
      <c r="C23" s="71" t="s">
        <v>1388</v>
      </c>
      <c r="D23" s="71" t="s">
        <v>163</v>
      </c>
      <c r="E23" s="72" t="s">
        <v>1389</v>
      </c>
      <c r="F23" s="73">
        <v>98365861</v>
      </c>
      <c r="G23" s="73" t="s">
        <v>1390</v>
      </c>
      <c r="H23" s="71"/>
      <c r="I23" s="71"/>
      <c r="J23" s="73"/>
      <c r="K23" s="73"/>
      <c r="L23" s="73"/>
      <c r="M23" s="2"/>
      <c r="N23" s="2"/>
      <c r="O23" s="2"/>
      <c r="P23" s="7"/>
      <c r="Q23" s="10"/>
    </row>
    <row r="24" spans="2:17">
      <c r="B24" s="69">
        <v>15</v>
      </c>
      <c r="C24" s="71" t="s">
        <v>1391</v>
      </c>
      <c r="D24" s="71" t="s">
        <v>163</v>
      </c>
      <c r="E24" s="72" t="s">
        <v>1392</v>
      </c>
      <c r="F24" s="73">
        <v>90601972</v>
      </c>
      <c r="G24" s="73" t="s">
        <v>1393</v>
      </c>
      <c r="H24" s="71" t="s">
        <v>52</v>
      </c>
      <c r="I24" s="71" t="s">
        <v>855</v>
      </c>
      <c r="J24" s="71"/>
      <c r="K24" s="71" t="s">
        <v>1394</v>
      </c>
      <c r="L24" s="71" t="s">
        <v>548</v>
      </c>
      <c r="M24" s="2" t="s">
        <v>75</v>
      </c>
      <c r="N24" s="2" t="s">
        <v>1395</v>
      </c>
      <c r="O24" s="2"/>
      <c r="P24" s="7"/>
      <c r="Q24" s="10"/>
    </row>
    <row r="25" spans="2:17">
      <c r="B25" s="69">
        <v>16</v>
      </c>
      <c r="C25" s="71" t="s">
        <v>1396</v>
      </c>
      <c r="D25" s="71" t="s">
        <v>183</v>
      </c>
      <c r="E25" s="72" t="s">
        <v>1397</v>
      </c>
      <c r="F25" s="73">
        <v>97480189</v>
      </c>
      <c r="G25" s="73" t="s">
        <v>1398</v>
      </c>
      <c r="H25" s="71" t="s">
        <v>32</v>
      </c>
      <c r="I25" s="71" t="s">
        <v>855</v>
      </c>
      <c r="J25" s="73">
        <v>3100</v>
      </c>
      <c r="K25" s="73">
        <v>3200</v>
      </c>
      <c r="L25" s="73" t="s">
        <v>1399</v>
      </c>
      <c r="M25" s="2" t="s">
        <v>67</v>
      </c>
      <c r="N25" s="2" t="s">
        <v>1400</v>
      </c>
      <c r="O25" s="2"/>
      <c r="P25" s="7"/>
      <c r="Q25" s="10"/>
    </row>
    <row r="26" spans="2:17">
      <c r="B26" s="69">
        <v>17</v>
      </c>
      <c r="C26" s="88" t="s">
        <v>1317</v>
      </c>
      <c r="D26" s="89" t="s">
        <v>163</v>
      </c>
      <c r="E26" s="90" t="s">
        <v>1318</v>
      </c>
      <c r="F26" s="73">
        <v>81428849</v>
      </c>
      <c r="G26" s="91" t="s">
        <v>1319</v>
      </c>
      <c r="H26" s="89" t="s">
        <v>52</v>
      </c>
      <c r="I26" s="89" t="s">
        <v>855</v>
      </c>
      <c r="J26" s="89"/>
      <c r="K26" s="89"/>
      <c r="L26" s="89"/>
      <c r="M26" s="10" t="s">
        <v>86</v>
      </c>
      <c r="N26" s="62" t="s">
        <v>1401</v>
      </c>
      <c r="O26" s="10"/>
      <c r="P26" s="63"/>
      <c r="Q26" s="10"/>
    </row>
    <row r="27" spans="2:17">
      <c r="B27" s="92">
        <v>18</v>
      </c>
      <c r="C27" s="93" t="s">
        <v>1321</v>
      </c>
      <c r="D27" s="94" t="s">
        <v>183</v>
      </c>
      <c r="E27" s="95" t="s">
        <v>1322</v>
      </c>
      <c r="F27" s="73">
        <v>96142501</v>
      </c>
      <c r="G27" s="96" t="s">
        <v>1323</v>
      </c>
      <c r="H27" s="94" t="s">
        <v>52</v>
      </c>
      <c r="I27" s="94" t="s">
        <v>855</v>
      </c>
      <c r="J27" s="94" t="s">
        <v>1324</v>
      </c>
      <c r="K27" s="94" t="s">
        <v>1325</v>
      </c>
      <c r="L27" s="94" t="s">
        <v>1028</v>
      </c>
      <c r="M27" s="12" t="s">
        <v>86</v>
      </c>
      <c r="N27" s="59" t="s">
        <v>1402</v>
      </c>
      <c r="O27" s="12"/>
      <c r="P27" s="60"/>
      <c r="Q27" s="12" t="s">
        <v>1327</v>
      </c>
    </row>
  </sheetData>
  <sheetProtection algorithmName="SHA-512" hashValue="TmtWDMII/CuDXNPS1nMgoxiFCr3rreADNDYzURRTIzfhXSClIl/sktKZsABHR0Wv+OCEzzk9MMjYnQLitZQ9aA==" saltValue="5QwiS+gR1LU/S/aDYC7r7w==" spinCount="100000" sheet="1" objects="1" scenarios="1"/>
  <mergeCells count="5">
    <mergeCell ref="D2:L2"/>
    <mergeCell ref="D3:L3"/>
    <mergeCell ref="D4:L4"/>
    <mergeCell ref="D5:L5"/>
    <mergeCell ref="D6:L6"/>
  </mergeCells>
  <conditionalFormatting sqref="M28:M1048576">
    <cfRule type="containsText" dxfId="94" priority="22" operator="containsText" text="[PE]">
      <formula>NOT(ISERROR(SEARCH("[PE]",M28)))</formula>
    </cfRule>
    <cfRule type="containsText" dxfId="93" priority="23" operator="containsText" text="[AE]">
      <formula>NOT(ISERROR(SEARCH("[AE]",M28)))</formula>
    </cfRule>
  </conditionalFormatting>
  <conditionalFormatting sqref="M10:M1048576">
    <cfRule type="cellIs" dxfId="92" priority="1" operator="equal">
      <formula>"[PE] Withdrawn"</formula>
    </cfRule>
    <cfRule type="cellIs" dxfId="91" priority="2" operator="equal">
      <formula>"[AE] Failed Screening Questions"</formula>
    </cfRule>
    <cfRule type="cellIs" dxfId="90" priority="3" operator="equal">
      <formula>"[AE] Failed Interview &amp; Provide Reasons"</formula>
    </cfRule>
    <cfRule type="cellIs" dxfId="89" priority="4" operator="equal">
      <formula>"[PE] KIV"</formula>
    </cfRule>
    <cfRule type="containsText" dxfId="88" priority="17" operator="containsText" text="[PE]">
      <formula>NOT(ISERROR(SEARCH("[PE]",M10)))</formula>
    </cfRule>
    <cfRule type="containsText" dxfId="87" priority="18" operator="containsText" text="[AE]">
      <formula>NOT(ISERROR(SEARCH("[AE]",M10)))</formula>
    </cfRule>
  </conditionalFormatting>
  <dataValidations count="3">
    <dataValidation type="list" allowBlank="1" showInputMessage="1" showErrorMessage="1" sqref="D10:D1048576" xr:uid="{00000000-0002-0000-0F00-000000000000}">
      <formula1>"Singaporean, SPR"</formula1>
    </dataValidation>
    <dataValidation type="list" allowBlank="1" showInputMessage="1" showErrorMessage="1" sqref="I10:I1048576" xr:uid="{00000000-0002-0000-0F00-000001000000}">
      <formula1>"Yes, No"</formula1>
    </dataValidation>
    <dataValidation type="list" allowBlank="1" showInputMessage="1" showErrorMessage="1" sqref="H10:H1048576" xr:uid="{00000000-0002-0000-0F00-000002000000}">
      <formula1>"Yan Yee, Edward, Keely, Donny, Ace, Joyce, Amanda, Jaclyn, Charlotte, Jiaxin, Mandy"</formula1>
    </dataValidation>
  </dataValidations>
  <hyperlinks>
    <hyperlink ref="D3" r:id="rId1" xr:uid="{00000000-0004-0000-0F00-000000000000}"/>
  </hyperlinks>
  <pageMargins left="0.7" right="0.7" top="0.75" bottom="0.75" header="0.3" footer="0.3"/>
  <pageSetup paperSize="9" orientation="portrait" horizontalDpi="4294967295" verticalDpi="4294967295"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F00-000003000000}">
          <x14:formula1>
            <xm:f>'Main Page'!$O$3:$O$14</xm:f>
          </x14:formula1>
          <xm:sqref>M10:M1048576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sheetPr>
  <dimension ref="A1:P34"/>
  <sheetViews>
    <sheetView topLeftCell="A8" zoomScale="80" zoomScaleNormal="80" workbookViewId="0">
      <pane xSplit="3" topLeftCell="H1" activePane="topRight" state="frozen"/>
      <selection pane="topRight" activeCell="N13" sqref="N13"/>
    </sheetView>
  </sheetViews>
  <sheetFormatPr defaultColWidth="8.7109375" defaultRowHeight="14.45"/>
  <cols>
    <col min="1" max="1" width="5.5703125" style="83" customWidth="1"/>
    <col min="2" max="2" width="5.85546875" style="87" customWidth="1"/>
    <col min="3" max="3" width="39.42578125" style="83" bestFit="1" customWidth="1"/>
    <col min="4" max="4" width="15.5703125" style="83" customWidth="1"/>
    <col min="5" max="5" width="26.42578125" style="83" bestFit="1" customWidth="1"/>
    <col min="6" max="6" width="16.5703125" style="83" customWidth="1"/>
    <col min="7" max="7" width="126.42578125" style="83" bestFit="1"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34.7109375" style="3" bestFit="1" customWidth="1"/>
    <col min="14" max="14" width="23.42578125" style="3" customWidth="1"/>
    <col min="15" max="15" width="15.140625" style="3" customWidth="1"/>
    <col min="16" max="16" width="11.42578125" style="3" customWidth="1"/>
    <col min="17" max="16384" width="8.7109375" style="3"/>
  </cols>
  <sheetData>
    <row r="1" spans="2:16" hidden="1">
      <c r="B1" s="83"/>
    </row>
    <row r="2" spans="2:16" ht="30" hidden="1" customHeight="1">
      <c r="B2" s="83"/>
      <c r="C2" s="84" t="s">
        <v>843</v>
      </c>
      <c r="D2" s="242" t="s">
        <v>1328</v>
      </c>
      <c r="E2" s="242"/>
      <c r="F2" s="239"/>
      <c r="G2" s="239"/>
      <c r="H2" s="239"/>
      <c r="I2" s="239"/>
      <c r="J2" s="239"/>
      <c r="K2" s="239"/>
      <c r="L2" s="239"/>
    </row>
    <row r="3" spans="2:16" hidden="1">
      <c r="B3" s="83"/>
      <c r="C3" s="85" t="s">
        <v>845</v>
      </c>
      <c r="D3" s="241" t="s">
        <v>1403</v>
      </c>
      <c r="E3" s="241"/>
      <c r="F3" s="241"/>
      <c r="G3" s="241"/>
      <c r="H3" s="241"/>
      <c r="I3" s="241"/>
      <c r="J3" s="241"/>
      <c r="K3" s="241"/>
      <c r="L3" s="241"/>
    </row>
    <row r="4" spans="2:16" hidden="1">
      <c r="B4" s="83"/>
      <c r="C4" s="85" t="s">
        <v>128</v>
      </c>
      <c r="D4" s="235" t="s">
        <v>1404</v>
      </c>
      <c r="E4" s="235"/>
      <c r="F4" s="235"/>
      <c r="G4" s="235"/>
      <c r="H4" s="235"/>
      <c r="I4" s="235"/>
      <c r="J4" s="235"/>
      <c r="K4" s="235"/>
      <c r="L4" s="235"/>
    </row>
    <row r="5" spans="2:16" hidden="1">
      <c r="B5" s="83"/>
      <c r="C5" s="85" t="s">
        <v>5</v>
      </c>
      <c r="D5" s="235" t="s">
        <v>52</v>
      </c>
      <c r="E5" s="235"/>
      <c r="F5" s="235"/>
      <c r="G5" s="235"/>
      <c r="H5" s="235"/>
      <c r="I5" s="235"/>
      <c r="J5" s="235"/>
      <c r="K5" s="235"/>
      <c r="L5" s="235"/>
    </row>
    <row r="6" spans="2:16" hidden="1">
      <c r="B6" s="83"/>
      <c r="C6" s="85" t="s">
        <v>62</v>
      </c>
      <c r="D6" s="236" t="s">
        <v>117</v>
      </c>
      <c r="E6" s="237"/>
      <c r="F6" s="237"/>
      <c r="G6" s="237"/>
      <c r="H6" s="237"/>
      <c r="I6" s="237"/>
      <c r="J6" s="237"/>
      <c r="K6" s="237"/>
      <c r="L6" s="238"/>
    </row>
    <row r="7" spans="2:16" hidden="1">
      <c r="B7" s="83"/>
      <c r="C7" s="86"/>
    </row>
    <row r="8" spans="2:16">
      <c r="B8" s="83"/>
    </row>
    <row r="9" spans="2:16" ht="57.95">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row>
    <row r="10" spans="2:16">
      <c r="B10" s="69">
        <v>1</v>
      </c>
      <c r="C10" s="71" t="s">
        <v>1405</v>
      </c>
      <c r="D10" s="71" t="s">
        <v>163</v>
      </c>
      <c r="E10" s="72" t="s">
        <v>1406</v>
      </c>
      <c r="F10" s="73">
        <v>81336774</v>
      </c>
      <c r="G10" s="73" t="s">
        <v>1407</v>
      </c>
      <c r="H10" s="71"/>
      <c r="I10" s="71"/>
      <c r="J10" s="71"/>
      <c r="K10" s="71"/>
      <c r="L10" s="71"/>
      <c r="M10" s="2"/>
      <c r="N10" s="2"/>
      <c r="O10" s="2"/>
      <c r="P10" s="7"/>
    </row>
    <row r="11" spans="2:16">
      <c r="B11" s="69">
        <v>2</v>
      </c>
      <c r="C11" s="71" t="s">
        <v>1408</v>
      </c>
      <c r="D11" s="71" t="s">
        <v>163</v>
      </c>
      <c r="E11" s="72" t="s">
        <v>1409</v>
      </c>
      <c r="F11" s="73">
        <v>94558200</v>
      </c>
      <c r="G11" s="73" t="s">
        <v>1410</v>
      </c>
      <c r="H11" s="71" t="s">
        <v>52</v>
      </c>
      <c r="I11" s="71" t="s">
        <v>855</v>
      </c>
      <c r="J11" s="71" t="s">
        <v>1411</v>
      </c>
      <c r="K11" s="71" t="s">
        <v>1412</v>
      </c>
      <c r="L11" s="71" t="s">
        <v>234</v>
      </c>
      <c r="M11" s="2" t="s">
        <v>89</v>
      </c>
      <c r="N11" s="2" t="s">
        <v>1413</v>
      </c>
      <c r="O11" s="2"/>
      <c r="P11" s="7"/>
    </row>
    <row r="12" spans="2:16">
      <c r="B12" s="69">
        <v>3</v>
      </c>
      <c r="C12" s="71" t="s">
        <v>1414</v>
      </c>
      <c r="D12" s="71" t="s">
        <v>163</v>
      </c>
      <c r="E12" s="72" t="s">
        <v>1415</v>
      </c>
      <c r="F12" s="73">
        <v>81985828</v>
      </c>
      <c r="G12" s="73" t="s">
        <v>1416</v>
      </c>
      <c r="H12" s="71"/>
      <c r="I12" s="71"/>
      <c r="J12" s="71"/>
      <c r="K12" s="71"/>
      <c r="L12" s="71"/>
      <c r="M12" s="2"/>
      <c r="N12" s="2"/>
      <c r="O12" s="2"/>
      <c r="P12" s="7"/>
    </row>
    <row r="13" spans="2:16">
      <c r="B13" s="69">
        <v>4</v>
      </c>
      <c r="C13" s="71" t="s">
        <v>1417</v>
      </c>
      <c r="D13" s="71" t="s">
        <v>163</v>
      </c>
      <c r="E13" s="72" t="s">
        <v>1418</v>
      </c>
      <c r="F13" s="73">
        <v>92994359</v>
      </c>
      <c r="G13" s="73" t="s">
        <v>1419</v>
      </c>
      <c r="H13" s="71" t="s">
        <v>1420</v>
      </c>
      <c r="I13" s="71" t="s">
        <v>855</v>
      </c>
      <c r="J13" s="71" t="s">
        <v>1421</v>
      </c>
      <c r="K13" s="71" t="s">
        <v>1422</v>
      </c>
      <c r="L13" s="71" t="s">
        <v>234</v>
      </c>
      <c r="M13" s="2" t="s">
        <v>89</v>
      </c>
      <c r="N13" s="2" t="s">
        <v>1423</v>
      </c>
      <c r="O13" s="2"/>
      <c r="P13" s="7"/>
    </row>
    <row r="14" spans="2:16">
      <c r="B14" s="69">
        <v>5</v>
      </c>
      <c r="C14" s="71" t="s">
        <v>1424</v>
      </c>
      <c r="D14" s="71" t="s">
        <v>163</v>
      </c>
      <c r="E14" s="72" t="s">
        <v>1425</v>
      </c>
      <c r="F14" s="73">
        <v>91863825</v>
      </c>
      <c r="G14" s="73" t="s">
        <v>1426</v>
      </c>
      <c r="H14" s="71" t="s">
        <v>45</v>
      </c>
      <c r="I14" s="71" t="s">
        <v>855</v>
      </c>
      <c r="J14" s="71" t="s">
        <v>1427</v>
      </c>
      <c r="K14" s="71" t="s">
        <v>1428</v>
      </c>
      <c r="L14" s="71" t="s">
        <v>234</v>
      </c>
      <c r="M14" s="2" t="s">
        <v>89</v>
      </c>
      <c r="N14" s="2" t="s">
        <v>1429</v>
      </c>
      <c r="O14" s="2"/>
      <c r="P14" s="7"/>
    </row>
    <row r="15" spans="2:16">
      <c r="B15" s="69">
        <v>6</v>
      </c>
      <c r="C15" s="75" t="s">
        <v>1430</v>
      </c>
      <c r="D15" s="75" t="s">
        <v>163</v>
      </c>
      <c r="E15" s="72" t="s">
        <v>1431</v>
      </c>
      <c r="F15" s="76">
        <v>85112965</v>
      </c>
      <c r="G15" s="73" t="s">
        <v>1432</v>
      </c>
      <c r="H15" s="75" t="s">
        <v>45</v>
      </c>
      <c r="I15" s="75" t="s">
        <v>951</v>
      </c>
      <c r="J15" s="75" t="s">
        <v>1433</v>
      </c>
      <c r="K15" s="75" t="s">
        <v>1434</v>
      </c>
      <c r="L15" s="71" t="s">
        <v>234</v>
      </c>
      <c r="M15" s="8" t="s">
        <v>89</v>
      </c>
      <c r="N15" s="8" t="s">
        <v>1435</v>
      </c>
      <c r="O15" s="8"/>
      <c r="P15" s="9"/>
    </row>
    <row r="16" spans="2:16">
      <c r="B16" s="69">
        <v>7</v>
      </c>
      <c r="C16" s="71" t="s">
        <v>1436</v>
      </c>
      <c r="D16" s="71" t="s">
        <v>163</v>
      </c>
      <c r="E16" s="72" t="s">
        <v>1437</v>
      </c>
      <c r="F16" s="73">
        <v>97958701</v>
      </c>
      <c r="G16" s="73" t="s">
        <v>1438</v>
      </c>
      <c r="H16" s="71" t="s">
        <v>45</v>
      </c>
      <c r="I16" s="71" t="s">
        <v>855</v>
      </c>
      <c r="J16" s="71" t="s">
        <v>1439</v>
      </c>
      <c r="K16" s="71" t="s">
        <v>1440</v>
      </c>
      <c r="L16" s="71" t="s">
        <v>824</v>
      </c>
      <c r="M16" s="2" t="s">
        <v>89</v>
      </c>
      <c r="N16" s="2" t="s">
        <v>1441</v>
      </c>
      <c r="O16" s="2"/>
      <c r="P16" s="7"/>
    </row>
    <row r="17" spans="2:16">
      <c r="B17" s="69">
        <v>8</v>
      </c>
      <c r="C17" s="71" t="s">
        <v>1442</v>
      </c>
      <c r="D17" s="71" t="s">
        <v>163</v>
      </c>
      <c r="E17" s="72" t="s">
        <v>1443</v>
      </c>
      <c r="F17" s="73">
        <v>87218188</v>
      </c>
      <c r="G17" s="73" t="s">
        <v>1444</v>
      </c>
      <c r="H17" s="71" t="s">
        <v>45</v>
      </c>
      <c r="I17" s="71" t="s">
        <v>951</v>
      </c>
      <c r="J17" s="71" t="s">
        <v>1445</v>
      </c>
      <c r="K17" s="71"/>
      <c r="L17" s="71" t="s">
        <v>234</v>
      </c>
      <c r="M17" s="2" t="s">
        <v>89</v>
      </c>
      <c r="N17" s="2" t="s">
        <v>1446</v>
      </c>
      <c r="O17" s="2"/>
      <c r="P17" s="7"/>
    </row>
    <row r="18" spans="2:16">
      <c r="B18" s="69">
        <v>9</v>
      </c>
      <c r="C18" s="71" t="s">
        <v>1447</v>
      </c>
      <c r="D18" s="71" t="s">
        <v>163</v>
      </c>
      <c r="E18" s="72" t="s">
        <v>1448</v>
      </c>
      <c r="F18" s="73">
        <v>81187456</v>
      </c>
      <c r="G18" s="73" t="s">
        <v>1449</v>
      </c>
      <c r="H18" s="71" t="s">
        <v>45</v>
      </c>
      <c r="I18" s="71" t="s">
        <v>951</v>
      </c>
      <c r="J18" s="71" t="s">
        <v>1450</v>
      </c>
      <c r="K18" s="71" t="s">
        <v>1451</v>
      </c>
      <c r="L18" s="71" t="s">
        <v>234</v>
      </c>
      <c r="M18" s="2" t="s">
        <v>67</v>
      </c>
      <c r="N18" s="2" t="s">
        <v>1452</v>
      </c>
      <c r="O18" s="2"/>
      <c r="P18" s="7"/>
    </row>
    <row r="19" spans="2:16">
      <c r="B19" s="69">
        <v>10</v>
      </c>
      <c r="C19" s="71" t="s">
        <v>1453</v>
      </c>
      <c r="D19" s="71" t="s">
        <v>163</v>
      </c>
      <c r="E19" s="72" t="s">
        <v>1454</v>
      </c>
      <c r="F19" s="73">
        <v>96829930</v>
      </c>
      <c r="G19" s="73" t="s">
        <v>1455</v>
      </c>
      <c r="H19" s="71" t="s">
        <v>52</v>
      </c>
      <c r="I19" s="71" t="s">
        <v>855</v>
      </c>
      <c r="J19" s="71" t="s">
        <v>1456</v>
      </c>
      <c r="K19" s="71" t="s">
        <v>1457</v>
      </c>
      <c r="L19" s="71" t="s">
        <v>548</v>
      </c>
      <c r="M19" s="2" t="s">
        <v>89</v>
      </c>
      <c r="N19" s="2" t="s">
        <v>1458</v>
      </c>
      <c r="O19" s="2"/>
      <c r="P19" s="7"/>
    </row>
    <row r="20" spans="2:16">
      <c r="B20" s="69">
        <v>11</v>
      </c>
      <c r="C20" s="71" t="s">
        <v>1459</v>
      </c>
      <c r="D20" s="71" t="s">
        <v>163</v>
      </c>
      <c r="E20" s="72" t="s">
        <v>1460</v>
      </c>
      <c r="F20" s="73">
        <v>94571113</v>
      </c>
      <c r="G20" s="73"/>
      <c r="H20" s="71"/>
      <c r="I20" s="71"/>
      <c r="J20" s="71"/>
      <c r="K20" s="71"/>
      <c r="L20" s="71"/>
      <c r="M20" s="2"/>
      <c r="N20" s="2"/>
      <c r="O20" s="2"/>
      <c r="P20" s="7"/>
    </row>
    <row r="21" spans="2:16">
      <c r="B21" s="69">
        <v>12</v>
      </c>
      <c r="C21" s="71" t="s">
        <v>1461</v>
      </c>
      <c r="D21" s="71" t="s">
        <v>163</v>
      </c>
      <c r="E21" s="72" t="s">
        <v>1462</v>
      </c>
      <c r="F21" s="73">
        <v>97799449</v>
      </c>
      <c r="G21" s="73"/>
      <c r="H21" s="71"/>
      <c r="I21" s="71"/>
      <c r="J21" s="71"/>
      <c r="K21" s="71"/>
      <c r="L21" s="71"/>
      <c r="M21" s="2"/>
      <c r="N21" s="2"/>
      <c r="O21" s="2"/>
      <c r="P21" s="7"/>
    </row>
    <row r="22" spans="2:16">
      <c r="B22" s="69">
        <v>13</v>
      </c>
      <c r="C22" s="80" t="s">
        <v>1463</v>
      </c>
      <c r="D22" s="80" t="s">
        <v>163</v>
      </c>
      <c r="E22" s="81" t="s">
        <v>1464</v>
      </c>
      <c r="F22" s="82">
        <v>90261201</v>
      </c>
      <c r="G22" s="82" t="s">
        <v>1465</v>
      </c>
      <c r="H22" s="80"/>
      <c r="I22" s="80"/>
      <c r="J22" s="80"/>
      <c r="K22" s="80"/>
      <c r="L22" s="80"/>
      <c r="M22" s="65"/>
      <c r="N22" s="65" t="s">
        <v>1466</v>
      </c>
      <c r="O22" s="2"/>
      <c r="P22" s="7"/>
    </row>
    <row r="23" spans="2:16">
      <c r="B23" s="69">
        <v>14</v>
      </c>
      <c r="C23" s="71" t="s">
        <v>1467</v>
      </c>
      <c r="D23" s="71" t="s">
        <v>163</v>
      </c>
      <c r="E23" s="72" t="s">
        <v>1468</v>
      </c>
      <c r="F23" s="73">
        <v>86010098</v>
      </c>
      <c r="G23" s="73" t="s">
        <v>1469</v>
      </c>
      <c r="H23" s="71" t="s">
        <v>52</v>
      </c>
      <c r="I23" s="71" t="s">
        <v>855</v>
      </c>
      <c r="J23" s="71" t="s">
        <v>1470</v>
      </c>
      <c r="K23" s="71" t="s">
        <v>1471</v>
      </c>
      <c r="L23" s="71" t="s">
        <v>234</v>
      </c>
      <c r="M23" s="2" t="s">
        <v>89</v>
      </c>
      <c r="N23" s="2" t="s">
        <v>1472</v>
      </c>
      <c r="O23" s="2"/>
      <c r="P23" s="7"/>
    </row>
    <row r="24" spans="2:16">
      <c r="B24" s="69">
        <v>15</v>
      </c>
      <c r="C24" s="71" t="s">
        <v>1473</v>
      </c>
      <c r="D24" s="71" t="s">
        <v>163</v>
      </c>
      <c r="E24" s="72" t="s">
        <v>1474</v>
      </c>
      <c r="F24" s="73">
        <v>81575498</v>
      </c>
      <c r="G24" s="73" t="s">
        <v>1475</v>
      </c>
      <c r="H24" s="71" t="s">
        <v>52</v>
      </c>
      <c r="I24" s="71" t="s">
        <v>855</v>
      </c>
      <c r="J24" s="71" t="s">
        <v>1386</v>
      </c>
      <c r="K24" s="71" t="s">
        <v>1089</v>
      </c>
      <c r="L24" s="71" t="s">
        <v>548</v>
      </c>
      <c r="M24" s="2" t="s">
        <v>75</v>
      </c>
      <c r="N24" s="2" t="s">
        <v>1476</v>
      </c>
      <c r="O24" s="2"/>
      <c r="P24" s="7"/>
    </row>
    <row r="25" spans="2:16">
      <c r="B25" s="69">
        <v>16</v>
      </c>
      <c r="C25" s="71" t="s">
        <v>1477</v>
      </c>
      <c r="D25" s="71" t="s">
        <v>163</v>
      </c>
      <c r="E25" s="72" t="s">
        <v>1478</v>
      </c>
      <c r="F25" s="73">
        <v>81255813</v>
      </c>
      <c r="G25" s="73" t="s">
        <v>1479</v>
      </c>
      <c r="H25" s="71" t="s">
        <v>45</v>
      </c>
      <c r="I25" s="71" t="s">
        <v>855</v>
      </c>
      <c r="J25" s="71" t="s">
        <v>1427</v>
      </c>
      <c r="K25" s="71" t="s">
        <v>1480</v>
      </c>
      <c r="L25" s="71" t="s">
        <v>234</v>
      </c>
      <c r="M25" s="2" t="s">
        <v>71</v>
      </c>
      <c r="N25" s="2" t="s">
        <v>1481</v>
      </c>
      <c r="O25" s="2"/>
      <c r="P25" s="7"/>
    </row>
    <row r="26" spans="2:16">
      <c r="B26" s="69">
        <v>17</v>
      </c>
      <c r="C26" s="71" t="s">
        <v>1482</v>
      </c>
      <c r="D26" s="71" t="s">
        <v>163</v>
      </c>
      <c r="E26" s="72" t="s">
        <v>1483</v>
      </c>
      <c r="F26" s="73">
        <v>98363796</v>
      </c>
      <c r="G26" s="73" t="s">
        <v>1484</v>
      </c>
      <c r="H26" s="71" t="s">
        <v>52</v>
      </c>
      <c r="I26" s="71" t="s">
        <v>951</v>
      </c>
      <c r="J26" s="71" t="s">
        <v>1485</v>
      </c>
      <c r="K26" s="71" t="s">
        <v>1486</v>
      </c>
      <c r="L26" s="71" t="s">
        <v>234</v>
      </c>
      <c r="M26" s="2" t="s">
        <v>67</v>
      </c>
      <c r="N26" s="64" t="s">
        <v>1487</v>
      </c>
      <c r="O26" s="2"/>
      <c r="P26" s="7"/>
    </row>
    <row r="27" spans="2:16">
      <c r="B27" s="69">
        <v>18</v>
      </c>
      <c r="C27" s="71" t="s">
        <v>1488</v>
      </c>
      <c r="D27" s="71" t="s">
        <v>183</v>
      </c>
      <c r="E27" s="72" t="s">
        <v>1489</v>
      </c>
      <c r="F27" s="73">
        <v>91709616</v>
      </c>
      <c r="G27" s="73" t="s">
        <v>1490</v>
      </c>
      <c r="H27" s="71" t="s">
        <v>45</v>
      </c>
      <c r="I27" s="71" t="s">
        <v>855</v>
      </c>
      <c r="J27" s="71" t="s">
        <v>1491</v>
      </c>
      <c r="K27" s="71" t="s">
        <v>1492</v>
      </c>
      <c r="L27" s="71" t="s">
        <v>234</v>
      </c>
      <c r="M27" s="2" t="s">
        <v>89</v>
      </c>
      <c r="N27" s="2" t="s">
        <v>1493</v>
      </c>
      <c r="O27" s="2"/>
      <c r="P27" s="7"/>
    </row>
    <row r="28" spans="2:16">
      <c r="B28" s="69">
        <v>19</v>
      </c>
      <c r="C28" s="71" t="s">
        <v>1494</v>
      </c>
      <c r="D28" s="71" t="s">
        <v>163</v>
      </c>
      <c r="E28" s="72" t="s">
        <v>1495</v>
      </c>
      <c r="F28" s="73">
        <v>87886586</v>
      </c>
      <c r="G28" s="73" t="s">
        <v>1496</v>
      </c>
      <c r="H28" s="71" t="s">
        <v>52</v>
      </c>
      <c r="I28" s="71" t="s">
        <v>855</v>
      </c>
      <c r="J28" s="71"/>
      <c r="K28" s="71"/>
      <c r="L28" s="71"/>
      <c r="M28" s="2" t="s">
        <v>89</v>
      </c>
      <c r="N28" s="2"/>
      <c r="O28" s="2"/>
      <c r="P28" s="7"/>
    </row>
    <row r="29" spans="2:16">
      <c r="B29" s="69">
        <v>20</v>
      </c>
      <c r="C29" s="71" t="s">
        <v>1497</v>
      </c>
      <c r="D29" s="71" t="s">
        <v>163</v>
      </c>
      <c r="E29" s="72" t="s">
        <v>1498</v>
      </c>
      <c r="F29" s="73">
        <v>90907949</v>
      </c>
      <c r="G29" s="73" t="s">
        <v>1499</v>
      </c>
      <c r="H29" s="71" t="s">
        <v>45</v>
      </c>
      <c r="I29" s="71" t="s">
        <v>855</v>
      </c>
      <c r="J29" s="74" t="s">
        <v>1500</v>
      </c>
      <c r="K29" s="71" t="s">
        <v>1501</v>
      </c>
      <c r="L29" s="71" t="s">
        <v>548</v>
      </c>
      <c r="M29" s="2" t="s">
        <v>71</v>
      </c>
      <c r="N29" s="2" t="s">
        <v>1502</v>
      </c>
      <c r="O29" s="2"/>
      <c r="P29" s="7"/>
    </row>
    <row r="30" spans="2:16">
      <c r="B30" s="69">
        <v>21</v>
      </c>
      <c r="C30" s="71" t="s">
        <v>1503</v>
      </c>
      <c r="D30" s="71" t="s">
        <v>163</v>
      </c>
      <c r="E30" s="72" t="s">
        <v>1504</v>
      </c>
      <c r="F30" s="73">
        <v>94894669</v>
      </c>
      <c r="G30" s="73" t="s">
        <v>1505</v>
      </c>
      <c r="H30" s="71"/>
      <c r="I30" s="71"/>
      <c r="J30" s="71"/>
      <c r="K30" s="71"/>
      <c r="L30" s="71"/>
      <c r="M30" s="2"/>
      <c r="N30" s="2"/>
      <c r="O30" s="2"/>
      <c r="P30" s="7"/>
    </row>
    <row r="31" spans="2:16">
      <c r="B31" s="69">
        <v>22</v>
      </c>
      <c r="C31" s="71" t="s">
        <v>1506</v>
      </c>
      <c r="D31" s="71" t="s">
        <v>163</v>
      </c>
      <c r="E31" s="72" t="s">
        <v>1507</v>
      </c>
      <c r="F31" s="73">
        <v>97607031</v>
      </c>
      <c r="G31" s="73" t="s">
        <v>1508</v>
      </c>
      <c r="H31" s="71" t="s">
        <v>45</v>
      </c>
      <c r="I31" s="71" t="s">
        <v>855</v>
      </c>
      <c r="J31" s="71" t="s">
        <v>1509</v>
      </c>
      <c r="K31" s="71" t="s">
        <v>1510</v>
      </c>
      <c r="L31" s="71" t="s">
        <v>548</v>
      </c>
      <c r="M31" s="2" t="s">
        <v>89</v>
      </c>
      <c r="N31" s="2" t="s">
        <v>1511</v>
      </c>
      <c r="O31" s="2"/>
      <c r="P31" s="7"/>
    </row>
    <row r="32" spans="2:16">
      <c r="B32" s="69">
        <v>23</v>
      </c>
      <c r="C32" s="71" t="s">
        <v>1512</v>
      </c>
      <c r="D32" s="71" t="s">
        <v>163</v>
      </c>
      <c r="E32" s="72" t="s">
        <v>1513</v>
      </c>
      <c r="F32" s="73">
        <v>88581202</v>
      </c>
      <c r="G32" s="73" t="s">
        <v>1514</v>
      </c>
      <c r="H32" s="71" t="s">
        <v>52</v>
      </c>
      <c r="I32" s="71" t="s">
        <v>855</v>
      </c>
      <c r="J32" s="71" t="s">
        <v>1515</v>
      </c>
      <c r="K32" s="71" t="s">
        <v>1089</v>
      </c>
      <c r="L32" s="71" t="s">
        <v>942</v>
      </c>
      <c r="M32" s="2" t="s">
        <v>89</v>
      </c>
      <c r="N32" s="2" t="s">
        <v>1516</v>
      </c>
      <c r="O32" s="2"/>
      <c r="P32" s="7"/>
    </row>
    <row r="33" spans="2:16">
      <c r="B33" s="69">
        <v>24</v>
      </c>
      <c r="C33" s="71" t="s">
        <v>1517</v>
      </c>
      <c r="D33" s="71" t="s">
        <v>163</v>
      </c>
      <c r="E33" s="72" t="s">
        <v>1518</v>
      </c>
      <c r="F33" s="73">
        <v>91193349</v>
      </c>
      <c r="G33" s="73" t="s">
        <v>1519</v>
      </c>
      <c r="H33" s="71" t="s">
        <v>52</v>
      </c>
      <c r="I33" s="71" t="s">
        <v>855</v>
      </c>
      <c r="J33" s="71"/>
      <c r="K33" s="71"/>
      <c r="L33" s="71"/>
      <c r="M33" s="2" t="s">
        <v>83</v>
      </c>
      <c r="N33" s="2" t="s">
        <v>1520</v>
      </c>
      <c r="O33" s="2"/>
      <c r="P33" s="7"/>
    </row>
    <row r="34" spans="2:16">
      <c r="B34" s="77">
        <v>25</v>
      </c>
      <c r="C34" s="78" t="s">
        <v>1521</v>
      </c>
      <c r="D34" s="75" t="s">
        <v>163</v>
      </c>
      <c r="E34" s="79" t="s">
        <v>1522</v>
      </c>
      <c r="F34" s="76">
        <v>6597349656</v>
      </c>
      <c r="G34" s="75" t="s">
        <v>1523</v>
      </c>
      <c r="H34" s="75" t="s">
        <v>45</v>
      </c>
      <c r="I34" s="75" t="s">
        <v>855</v>
      </c>
      <c r="J34" s="75" t="s">
        <v>1524</v>
      </c>
      <c r="K34" s="75"/>
      <c r="L34" s="71" t="s">
        <v>234</v>
      </c>
      <c r="M34" s="8" t="s">
        <v>89</v>
      </c>
      <c r="N34" s="8" t="s">
        <v>1525</v>
      </c>
      <c r="O34" s="8"/>
      <c r="P34" s="9"/>
    </row>
  </sheetData>
  <sheetProtection algorithmName="SHA-512" hashValue="JB0iiJqtxmXvVcLAWES7RRdgrhRlvDsmoA+/wB2ugmpTk7TNuBXxZJkKzTL9znF+s9hbhgbr4yBqZo8yvNOBWA==" saltValue="mCFmoboxO9b7/jIjh4Ma9w==" spinCount="100000" sheet="1" objects="1" scenarios="1" selectLockedCells="1"/>
  <mergeCells count="5">
    <mergeCell ref="D2:L2"/>
    <mergeCell ref="D3:L3"/>
    <mergeCell ref="D4:L4"/>
    <mergeCell ref="D5:L5"/>
    <mergeCell ref="D6:L6"/>
  </mergeCells>
  <conditionalFormatting sqref="M11:M13 M19:M24 M26 M28 M30 M32:M33">
    <cfRule type="containsText" dxfId="65" priority="15" operator="containsText" text="[PE]">
      <formula>NOT(ISERROR(SEARCH("[PE]",M11)))</formula>
    </cfRule>
    <cfRule type="containsText" dxfId="64" priority="16" operator="containsText" text="[AE]">
      <formula>NOT(ISERROR(SEARCH("[AE]",M11)))</formula>
    </cfRule>
  </conditionalFormatting>
  <conditionalFormatting sqref="M14:M18">
    <cfRule type="containsText" dxfId="63" priority="13" operator="containsText" text="[PE]">
      <formula>NOT(ISERROR(SEARCH("[PE]",M14)))</formula>
    </cfRule>
    <cfRule type="containsText" dxfId="62" priority="14" operator="containsText" text="[AE]">
      <formula>NOT(ISERROR(SEARCH("[AE]",M14)))</formula>
    </cfRule>
  </conditionalFormatting>
  <conditionalFormatting sqref="M25">
    <cfRule type="containsText" dxfId="61" priority="11" operator="containsText" text="[PE]">
      <formula>NOT(ISERROR(SEARCH("[PE]",M25)))</formula>
    </cfRule>
    <cfRule type="containsText" dxfId="60" priority="12" operator="containsText" text="[AE]">
      <formula>NOT(ISERROR(SEARCH("[AE]",M25)))</formula>
    </cfRule>
  </conditionalFormatting>
  <conditionalFormatting sqref="M27">
    <cfRule type="containsText" dxfId="59" priority="9" operator="containsText" text="[PE]">
      <formula>NOT(ISERROR(SEARCH("[PE]",M27)))</formula>
    </cfRule>
    <cfRule type="containsText" dxfId="58" priority="10" operator="containsText" text="[AE]">
      <formula>NOT(ISERROR(SEARCH("[AE]",M27)))</formula>
    </cfRule>
  </conditionalFormatting>
  <conditionalFormatting sqref="M29">
    <cfRule type="containsText" dxfId="57" priority="7" operator="containsText" text="[PE]">
      <formula>NOT(ISERROR(SEARCH("[PE]",M29)))</formula>
    </cfRule>
    <cfRule type="containsText" dxfId="56" priority="8" operator="containsText" text="[AE]">
      <formula>NOT(ISERROR(SEARCH("[AE]",M29)))</formula>
    </cfRule>
  </conditionalFormatting>
  <conditionalFormatting sqref="M31">
    <cfRule type="containsText" dxfId="55" priority="5" operator="containsText" text="[PE]">
      <formula>NOT(ISERROR(SEARCH("[PE]",M31)))</formula>
    </cfRule>
    <cfRule type="containsText" dxfId="54" priority="6" operator="containsText" text="[AE]">
      <formula>NOT(ISERROR(SEARCH("[AE]",M31)))</formula>
    </cfRule>
  </conditionalFormatting>
  <conditionalFormatting sqref="M34">
    <cfRule type="containsText" dxfId="53" priority="3" operator="containsText" text="[PE]">
      <formula>NOT(ISERROR(SEARCH("[PE]",M34)))</formula>
    </cfRule>
    <cfRule type="containsText" dxfId="52" priority="4" operator="containsText" text="[AE]">
      <formula>NOT(ISERROR(SEARCH("[AE]",M34)))</formula>
    </cfRule>
  </conditionalFormatting>
  <conditionalFormatting sqref="M10:M1048576">
    <cfRule type="cellIs" dxfId="51" priority="1" operator="equal">
      <formula>"[PE] KIV"</formula>
    </cfRule>
    <cfRule type="cellIs" dxfId="50" priority="2" operator="equal">
      <formula>"[AE] Failed Screening Questions"</formula>
    </cfRule>
    <cfRule type="containsText" dxfId="49" priority="17" operator="containsText" text="[PE] Withdrawn">
      <formula>NOT(ISERROR(SEARCH("[PE] Withdrawn",M10)))</formula>
    </cfRule>
    <cfRule type="containsText" dxfId="48" priority="18" operator="containsText" text="[AE] Failed Interview &amp; Provide Reasons">
      <formula>NOT(ISERROR(SEARCH("[AE] Failed Interview &amp; Provide Reasons",M10)))</formula>
    </cfRule>
    <cfRule type="containsText" dxfId="47" priority="23" operator="containsText" text="[PE]">
      <formula>NOT(ISERROR(SEARCH("[PE]",M10)))</formula>
    </cfRule>
    <cfRule type="containsText" dxfId="46" priority="24" operator="containsText" text="[AE]">
      <formula>NOT(ISERROR(SEARCH("[AE]",M10)))</formula>
    </cfRule>
  </conditionalFormatting>
  <dataValidations count="3">
    <dataValidation type="list" allowBlank="1" showInputMessage="1" showErrorMessage="1" sqref="D10:D1048576" xr:uid="{00000000-0002-0000-1000-000000000000}">
      <formula1>"Singaporean, SPR"</formula1>
    </dataValidation>
    <dataValidation type="list" allowBlank="1" showInputMessage="1" showErrorMessage="1" sqref="I10:I1048576" xr:uid="{00000000-0002-0000-1000-000001000000}">
      <formula1>"Yes, No"</formula1>
    </dataValidation>
    <dataValidation type="list" allowBlank="1" showInputMessage="1" showErrorMessage="1" sqref="H10:H1048576" xr:uid="{00000000-0002-0000-1000-000002000000}">
      <formula1>"Yan Yee, Edward, Keely, Donny, Ace, Joyce, Amanda, Jaclyn, Charlotte, Jiaxin, Mandy"</formula1>
    </dataValidation>
  </dataValidations>
  <hyperlinks>
    <hyperlink ref="D3" r:id="rId1" xr:uid="{00000000-0004-0000-1000-000000000000}"/>
  </hyperlinks>
  <pageMargins left="0.7" right="0.7" top="0.75" bottom="0.75" header="0.3" footer="0.3"/>
  <pageSetup paperSize="9" orientation="portrait" horizontalDpi="4294967295" verticalDpi="4294967295"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3000000}">
          <x14:formula1>
            <xm:f>'Main Page'!$O$3:$O$14</xm:f>
          </x14:formula1>
          <xm:sqref>M10:M1048576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sheetPr>
  <dimension ref="B1:P41"/>
  <sheetViews>
    <sheetView topLeftCell="A8" zoomScale="80" zoomScaleNormal="80" workbookViewId="0">
      <pane xSplit="3" topLeftCell="I1" activePane="topRight" state="frozen"/>
      <selection pane="topRight" activeCell="N14" sqref="N14"/>
    </sheetView>
  </sheetViews>
  <sheetFormatPr defaultColWidth="8.7109375" defaultRowHeight="14.45"/>
  <cols>
    <col min="1" max="1" width="5.5703125" style="3" customWidth="1"/>
    <col min="2" max="2" width="5.85546875" style="87" customWidth="1"/>
    <col min="3" max="3" width="27.85546875" style="83" bestFit="1" customWidth="1"/>
    <col min="4" max="4" width="15.5703125" style="83" customWidth="1"/>
    <col min="5" max="5" width="31.85546875" style="83" bestFit="1" customWidth="1"/>
    <col min="6" max="6" width="21" style="83" bestFit="1" customWidth="1"/>
    <col min="7" max="7" width="10.5703125" style="83" customWidth="1"/>
    <col min="8" max="8" width="12.140625" style="83" customWidth="1"/>
    <col min="9" max="9" width="12.42578125" style="83" customWidth="1"/>
    <col min="10" max="10" width="24.42578125" style="83" customWidth="1"/>
    <col min="11" max="11" width="20.5703125" style="83" customWidth="1"/>
    <col min="12" max="12" width="18.85546875" style="83" customWidth="1"/>
    <col min="13" max="13" width="18.85546875" style="3" customWidth="1"/>
    <col min="14" max="14" width="57.7109375" style="3" customWidth="1"/>
    <col min="15" max="15" width="15.140625" style="3" customWidth="1"/>
    <col min="16" max="16" width="11.42578125" style="3" customWidth="1"/>
    <col min="17" max="16384" width="8.7109375" style="3"/>
  </cols>
  <sheetData>
    <row r="1" spans="2:16" hidden="1">
      <c r="B1" s="83"/>
    </row>
    <row r="2" spans="2:16" ht="30" hidden="1" customHeight="1">
      <c r="B2" s="83"/>
      <c r="C2" s="84" t="s">
        <v>843</v>
      </c>
      <c r="D2" s="242" t="s">
        <v>1526</v>
      </c>
      <c r="E2" s="242"/>
      <c r="F2" s="239"/>
      <c r="G2" s="239"/>
      <c r="H2" s="239"/>
      <c r="I2" s="239"/>
      <c r="J2" s="239"/>
      <c r="K2" s="239"/>
      <c r="L2" s="239"/>
    </row>
    <row r="3" spans="2:16" hidden="1">
      <c r="B3" s="83"/>
      <c r="C3" s="85" t="s">
        <v>845</v>
      </c>
      <c r="D3" s="241" t="s">
        <v>1527</v>
      </c>
      <c r="E3" s="241"/>
      <c r="F3" s="241"/>
      <c r="G3" s="241"/>
      <c r="H3" s="241"/>
      <c r="I3" s="241"/>
      <c r="J3" s="241"/>
      <c r="K3" s="241"/>
      <c r="L3" s="241"/>
    </row>
    <row r="4" spans="2:16" hidden="1">
      <c r="B4" s="83"/>
      <c r="C4" s="85" t="s">
        <v>128</v>
      </c>
      <c r="D4" s="235" t="s">
        <v>1528</v>
      </c>
      <c r="E4" s="235"/>
      <c r="F4" s="235"/>
      <c r="G4" s="235"/>
      <c r="H4" s="235"/>
      <c r="I4" s="235"/>
      <c r="J4" s="235"/>
      <c r="K4" s="235"/>
      <c r="L4" s="235"/>
    </row>
    <row r="5" spans="2:16" hidden="1">
      <c r="B5" s="83"/>
      <c r="C5" s="85" t="s">
        <v>5</v>
      </c>
      <c r="D5" s="235" t="s">
        <v>37</v>
      </c>
      <c r="E5" s="235"/>
      <c r="F5" s="235"/>
      <c r="G5" s="235"/>
      <c r="H5" s="235"/>
      <c r="I5" s="235"/>
      <c r="J5" s="235"/>
      <c r="K5" s="235"/>
      <c r="L5" s="235"/>
    </row>
    <row r="6" spans="2:16" hidden="1">
      <c r="B6" s="83"/>
      <c r="C6" s="85" t="s">
        <v>62</v>
      </c>
      <c r="D6" s="236" t="s">
        <v>121</v>
      </c>
      <c r="E6" s="237"/>
      <c r="F6" s="237"/>
      <c r="G6" s="237"/>
      <c r="H6" s="237"/>
      <c r="I6" s="237"/>
      <c r="J6" s="237"/>
      <c r="K6" s="237"/>
      <c r="L6" s="238"/>
    </row>
    <row r="7" spans="2:16" hidden="1">
      <c r="B7" s="83"/>
      <c r="C7" s="86"/>
    </row>
    <row r="8" spans="2:16">
      <c r="B8" s="83"/>
    </row>
    <row r="9" spans="2:16" ht="57.95">
      <c r="B9" s="67" t="s">
        <v>143</v>
      </c>
      <c r="C9" s="68" t="s">
        <v>144</v>
      </c>
      <c r="D9" s="68" t="s">
        <v>925</v>
      </c>
      <c r="E9" s="68" t="s">
        <v>146</v>
      </c>
      <c r="F9" s="68" t="s">
        <v>147</v>
      </c>
      <c r="G9" s="68" t="s">
        <v>152</v>
      </c>
      <c r="H9" s="68" t="s">
        <v>148</v>
      </c>
      <c r="I9" s="68" t="s">
        <v>848</v>
      </c>
      <c r="J9" s="68" t="s">
        <v>849</v>
      </c>
      <c r="K9" s="68" t="s">
        <v>850</v>
      </c>
      <c r="L9" s="68" t="s">
        <v>851</v>
      </c>
      <c r="M9" s="1" t="s">
        <v>157</v>
      </c>
      <c r="N9" s="1" t="s">
        <v>158</v>
      </c>
      <c r="O9" s="4" t="s">
        <v>159</v>
      </c>
      <c r="P9" s="5" t="s">
        <v>160</v>
      </c>
    </row>
    <row r="10" spans="2:16">
      <c r="B10" s="69">
        <v>1</v>
      </c>
      <c r="C10" s="71" t="s">
        <v>1529</v>
      </c>
      <c r="D10" s="71" t="s">
        <v>163</v>
      </c>
      <c r="E10" s="72" t="s">
        <v>1530</v>
      </c>
      <c r="F10" s="73">
        <v>90698339</v>
      </c>
      <c r="G10" s="73" t="s">
        <v>1531</v>
      </c>
      <c r="H10" s="71" t="s">
        <v>37</v>
      </c>
      <c r="I10" s="71"/>
      <c r="J10" s="71"/>
      <c r="K10" s="71"/>
      <c r="L10" s="71"/>
      <c r="M10" s="2" t="s">
        <v>83</v>
      </c>
      <c r="N10" s="53"/>
      <c r="O10" s="2"/>
      <c r="P10" s="7"/>
    </row>
    <row r="11" spans="2:16">
      <c r="B11" s="69">
        <v>2</v>
      </c>
      <c r="C11" s="71" t="s">
        <v>1532</v>
      </c>
      <c r="D11" s="71" t="s">
        <v>183</v>
      </c>
      <c r="E11" s="72" t="s">
        <v>1533</v>
      </c>
      <c r="F11" s="73">
        <v>90076200</v>
      </c>
      <c r="G11" s="73" t="s">
        <v>1534</v>
      </c>
      <c r="H11" s="71" t="s">
        <v>37</v>
      </c>
      <c r="I11" s="71" t="s">
        <v>855</v>
      </c>
      <c r="J11" s="73" t="s">
        <v>1535</v>
      </c>
      <c r="K11" s="73" t="s">
        <v>1536</v>
      </c>
      <c r="L11" s="73" t="s">
        <v>234</v>
      </c>
      <c r="M11" s="2" t="s">
        <v>89</v>
      </c>
      <c r="N11" s="2"/>
      <c r="O11" s="2"/>
      <c r="P11" s="7"/>
    </row>
    <row r="12" spans="2:16">
      <c r="B12" s="69">
        <v>3</v>
      </c>
      <c r="C12" s="71" t="s">
        <v>1537</v>
      </c>
      <c r="D12" s="71" t="s">
        <v>163</v>
      </c>
      <c r="E12" s="72" t="s">
        <v>1538</v>
      </c>
      <c r="F12" s="73">
        <v>97378328</v>
      </c>
      <c r="G12" s="73" t="s">
        <v>1539</v>
      </c>
      <c r="H12" s="71" t="s">
        <v>105</v>
      </c>
      <c r="I12" s="71" t="s">
        <v>855</v>
      </c>
      <c r="J12" s="74" t="s">
        <v>1540</v>
      </c>
      <c r="K12" s="71" t="s">
        <v>1541</v>
      </c>
      <c r="L12" s="73" t="s">
        <v>234</v>
      </c>
      <c r="M12" s="2" t="s">
        <v>89</v>
      </c>
      <c r="N12" s="2" t="s">
        <v>1542</v>
      </c>
      <c r="O12" s="2"/>
      <c r="P12" s="7"/>
    </row>
    <row r="13" spans="2:16">
      <c r="B13" s="69">
        <v>4</v>
      </c>
      <c r="C13" s="71" t="s">
        <v>1543</v>
      </c>
      <c r="D13" s="71" t="s">
        <v>163</v>
      </c>
      <c r="E13" s="72" t="s">
        <v>1544</v>
      </c>
      <c r="F13" s="73">
        <v>94294802</v>
      </c>
      <c r="G13" s="73" t="s">
        <v>1545</v>
      </c>
      <c r="H13" s="71"/>
      <c r="I13" s="71"/>
      <c r="J13" s="73"/>
      <c r="K13" s="73"/>
      <c r="L13" s="73"/>
      <c r="M13" s="2" t="s">
        <v>86</v>
      </c>
      <c r="N13" s="2" t="s">
        <v>1466</v>
      </c>
      <c r="O13" s="2"/>
      <c r="P13" s="7"/>
    </row>
    <row r="14" spans="2:16">
      <c r="B14" s="69">
        <v>5</v>
      </c>
      <c r="C14" s="71" t="s">
        <v>1546</v>
      </c>
      <c r="D14" s="71" t="s">
        <v>163</v>
      </c>
      <c r="E14" s="72" t="s">
        <v>1547</v>
      </c>
      <c r="F14" s="73">
        <v>96836690</v>
      </c>
      <c r="G14" s="73" t="s">
        <v>1548</v>
      </c>
      <c r="H14" s="71" t="s">
        <v>105</v>
      </c>
      <c r="I14" s="71" t="s">
        <v>951</v>
      </c>
      <c r="J14" s="71" t="s">
        <v>1549</v>
      </c>
      <c r="K14" s="71" t="s">
        <v>1550</v>
      </c>
      <c r="L14" s="73" t="s">
        <v>234</v>
      </c>
      <c r="M14" s="2" t="s">
        <v>89</v>
      </c>
      <c r="N14" s="2" t="s">
        <v>1551</v>
      </c>
      <c r="O14" s="2"/>
      <c r="P14" s="7"/>
    </row>
    <row r="15" spans="2:16" ht="42" customHeight="1">
      <c r="B15" s="69">
        <v>6</v>
      </c>
      <c r="C15" s="75" t="s">
        <v>1552</v>
      </c>
      <c r="D15" s="75" t="s">
        <v>163</v>
      </c>
      <c r="E15" s="72" t="s">
        <v>1553</v>
      </c>
      <c r="F15" s="76">
        <v>91881072</v>
      </c>
      <c r="G15" s="73" t="s">
        <v>1554</v>
      </c>
      <c r="H15" s="75" t="s">
        <v>105</v>
      </c>
      <c r="I15" s="75" t="s">
        <v>951</v>
      </c>
      <c r="J15" s="75" t="s">
        <v>1555</v>
      </c>
      <c r="K15" s="75" t="s">
        <v>1556</v>
      </c>
      <c r="L15" s="73" t="s">
        <v>234</v>
      </c>
      <c r="M15" s="8" t="s">
        <v>86</v>
      </c>
      <c r="N15" s="8" t="s">
        <v>1557</v>
      </c>
      <c r="O15" s="8"/>
      <c r="P15" s="9"/>
    </row>
    <row r="16" spans="2:16">
      <c r="B16" s="69">
        <v>7</v>
      </c>
      <c r="C16" s="71" t="s">
        <v>1558</v>
      </c>
      <c r="D16" s="71" t="s">
        <v>163</v>
      </c>
      <c r="E16" s="72" t="s">
        <v>1559</v>
      </c>
      <c r="F16" s="73">
        <v>83533388</v>
      </c>
      <c r="G16" s="73" t="s">
        <v>1560</v>
      </c>
      <c r="H16" s="71"/>
      <c r="I16" s="71"/>
      <c r="J16" s="73"/>
      <c r="K16" s="73"/>
      <c r="L16" s="73"/>
      <c r="M16" s="2"/>
      <c r="N16" s="2"/>
      <c r="O16" s="2"/>
      <c r="P16" s="7"/>
    </row>
    <row r="17" spans="2:16">
      <c r="B17" s="69">
        <v>8</v>
      </c>
      <c r="C17" s="71" t="s">
        <v>1561</v>
      </c>
      <c r="D17" s="71" t="s">
        <v>163</v>
      </c>
      <c r="E17" s="72" t="s">
        <v>1562</v>
      </c>
      <c r="F17" s="73">
        <v>97551703</v>
      </c>
      <c r="G17" s="73"/>
      <c r="H17" s="71"/>
      <c r="I17" s="71"/>
      <c r="J17" s="73"/>
      <c r="K17" s="73"/>
      <c r="L17" s="73"/>
      <c r="M17" s="2"/>
      <c r="N17" s="2"/>
      <c r="O17" s="2"/>
      <c r="P17" s="7"/>
    </row>
    <row r="18" spans="2:16">
      <c r="B18" s="69">
        <v>9</v>
      </c>
      <c r="C18" s="71" t="s">
        <v>1563</v>
      </c>
      <c r="D18" s="71" t="s">
        <v>163</v>
      </c>
      <c r="E18" s="72" t="s">
        <v>1564</v>
      </c>
      <c r="F18" s="73">
        <v>93695580</v>
      </c>
      <c r="G18" s="73" t="s">
        <v>1565</v>
      </c>
      <c r="H18" s="71"/>
      <c r="I18" s="71"/>
      <c r="J18" s="73"/>
      <c r="K18" s="73"/>
      <c r="L18" s="73"/>
      <c r="M18" s="2" t="s">
        <v>83</v>
      </c>
      <c r="N18" s="2"/>
      <c r="O18" s="2"/>
      <c r="P18" s="7"/>
    </row>
    <row r="19" spans="2:16">
      <c r="B19" s="69">
        <v>10</v>
      </c>
      <c r="C19" s="71" t="s">
        <v>1566</v>
      </c>
      <c r="D19" s="71" t="s">
        <v>163</v>
      </c>
      <c r="E19" s="72" t="s">
        <v>1567</v>
      </c>
      <c r="F19" s="73">
        <v>91191930</v>
      </c>
      <c r="G19" s="73" t="s">
        <v>1568</v>
      </c>
      <c r="H19" s="71" t="s">
        <v>105</v>
      </c>
      <c r="I19" s="71" t="s">
        <v>855</v>
      </c>
      <c r="J19" s="71" t="s">
        <v>1569</v>
      </c>
      <c r="K19" s="71" t="s">
        <v>1570</v>
      </c>
      <c r="L19" s="71" t="s">
        <v>1571</v>
      </c>
      <c r="M19" s="2" t="s">
        <v>89</v>
      </c>
      <c r="N19" s="2" t="s">
        <v>1572</v>
      </c>
      <c r="O19" s="2"/>
      <c r="P19" s="7"/>
    </row>
    <row r="20" spans="2:16">
      <c r="B20" s="69">
        <v>11</v>
      </c>
      <c r="C20" s="71" t="s">
        <v>1573</v>
      </c>
      <c r="D20" s="71" t="s">
        <v>163</v>
      </c>
      <c r="E20" s="72" t="s">
        <v>1574</v>
      </c>
      <c r="F20" s="73">
        <v>96851099</v>
      </c>
      <c r="G20" s="73" t="s">
        <v>1575</v>
      </c>
      <c r="H20" s="71"/>
      <c r="I20" s="71"/>
      <c r="J20" s="73"/>
      <c r="K20" s="73"/>
      <c r="L20" s="73"/>
      <c r="M20" s="2"/>
      <c r="N20" s="2"/>
      <c r="O20" s="2"/>
      <c r="P20" s="7"/>
    </row>
    <row r="21" spans="2:16">
      <c r="B21" s="69">
        <v>12</v>
      </c>
      <c r="C21" s="71" t="s">
        <v>1576</v>
      </c>
      <c r="D21" s="71" t="s">
        <v>163</v>
      </c>
      <c r="E21" s="72" t="s">
        <v>1577</v>
      </c>
      <c r="F21" s="73">
        <v>89278562</v>
      </c>
      <c r="G21" s="73" t="s">
        <v>1578</v>
      </c>
      <c r="H21" s="71"/>
      <c r="I21" s="71"/>
      <c r="J21" s="73"/>
      <c r="K21" s="73"/>
      <c r="L21" s="73"/>
      <c r="M21" s="2"/>
      <c r="N21" s="2"/>
      <c r="O21" s="2"/>
      <c r="P21" s="7"/>
    </row>
    <row r="22" spans="2:16">
      <c r="B22" s="69">
        <v>13</v>
      </c>
      <c r="C22" s="71" t="s">
        <v>1579</v>
      </c>
      <c r="D22" s="71" t="s">
        <v>163</v>
      </c>
      <c r="E22" s="72" t="s">
        <v>1580</v>
      </c>
      <c r="F22" s="73">
        <v>96832798</v>
      </c>
      <c r="G22" s="73" t="s">
        <v>1581</v>
      </c>
      <c r="H22" s="71" t="s">
        <v>105</v>
      </c>
      <c r="I22" s="71" t="s">
        <v>855</v>
      </c>
      <c r="J22" s="71" t="s">
        <v>1582</v>
      </c>
      <c r="K22" s="71" t="s">
        <v>1583</v>
      </c>
      <c r="L22" s="73" t="s">
        <v>234</v>
      </c>
      <c r="M22" s="2" t="s">
        <v>89</v>
      </c>
      <c r="N22" s="2" t="s">
        <v>1584</v>
      </c>
      <c r="O22" s="2"/>
      <c r="P22" s="7"/>
    </row>
    <row r="23" spans="2:16">
      <c r="B23" s="69">
        <v>14</v>
      </c>
      <c r="C23" s="71" t="s">
        <v>1585</v>
      </c>
      <c r="D23" s="71" t="s">
        <v>163</v>
      </c>
      <c r="E23" s="72" t="s">
        <v>1507</v>
      </c>
      <c r="F23" s="73">
        <v>97607031</v>
      </c>
      <c r="G23" s="73" t="s">
        <v>1586</v>
      </c>
      <c r="H23" s="71" t="s">
        <v>37</v>
      </c>
      <c r="I23" s="71" t="s">
        <v>855</v>
      </c>
      <c r="J23" s="73">
        <v>3600</v>
      </c>
      <c r="K23" s="73"/>
      <c r="L23" s="73" t="s">
        <v>1587</v>
      </c>
      <c r="M23" s="2" t="s">
        <v>89</v>
      </c>
      <c r="N23" s="2"/>
      <c r="O23" s="2"/>
      <c r="P23" s="7"/>
    </row>
    <row r="24" spans="2:16">
      <c r="B24" s="69">
        <v>15</v>
      </c>
      <c r="C24" s="71" t="s">
        <v>1588</v>
      </c>
      <c r="D24" s="71" t="s">
        <v>183</v>
      </c>
      <c r="E24" s="72" t="s">
        <v>1589</v>
      </c>
      <c r="F24" s="73">
        <v>98625241</v>
      </c>
      <c r="G24" s="73" t="s">
        <v>1590</v>
      </c>
      <c r="H24" s="71" t="s">
        <v>37</v>
      </c>
      <c r="I24" s="71" t="s">
        <v>951</v>
      </c>
      <c r="J24" s="73"/>
      <c r="K24" s="73"/>
      <c r="L24" s="73" t="s">
        <v>234</v>
      </c>
      <c r="M24" s="2" t="s">
        <v>86</v>
      </c>
      <c r="N24" s="2"/>
      <c r="O24" s="2"/>
      <c r="P24" s="7"/>
    </row>
    <row r="25" spans="2:16">
      <c r="B25" s="69">
        <v>16</v>
      </c>
      <c r="C25" s="71" t="s">
        <v>1591</v>
      </c>
      <c r="D25" s="71" t="s">
        <v>183</v>
      </c>
      <c r="E25" s="72" t="s">
        <v>1592</v>
      </c>
      <c r="F25" s="73">
        <v>93396476</v>
      </c>
      <c r="G25" s="73" t="s">
        <v>1593</v>
      </c>
      <c r="H25" s="71" t="s">
        <v>105</v>
      </c>
      <c r="I25" s="71" t="s">
        <v>855</v>
      </c>
      <c r="J25" s="71" t="s">
        <v>1594</v>
      </c>
      <c r="K25" s="71" t="s">
        <v>1595</v>
      </c>
      <c r="L25" s="73" t="s">
        <v>234</v>
      </c>
      <c r="M25" s="2" t="s">
        <v>86</v>
      </c>
      <c r="N25" s="2" t="s">
        <v>1596</v>
      </c>
      <c r="O25" s="2"/>
      <c r="P25" s="7"/>
    </row>
    <row r="26" spans="2:16">
      <c r="B26" s="69">
        <v>17</v>
      </c>
      <c r="C26" s="71" t="s">
        <v>1597</v>
      </c>
      <c r="D26" s="71" t="s">
        <v>183</v>
      </c>
      <c r="E26" s="72" t="s">
        <v>1598</v>
      </c>
      <c r="F26" s="73">
        <v>98519601</v>
      </c>
      <c r="G26" s="73" t="s">
        <v>1599</v>
      </c>
      <c r="H26" s="71"/>
      <c r="I26" s="71"/>
      <c r="J26" s="73"/>
      <c r="K26" s="73"/>
      <c r="L26" s="73"/>
      <c r="M26" s="2"/>
      <c r="N26" s="2"/>
      <c r="O26" s="2"/>
      <c r="P26" s="7"/>
    </row>
    <row r="27" spans="2:16">
      <c r="B27" s="69">
        <v>18</v>
      </c>
      <c r="C27" s="71" t="s">
        <v>1600</v>
      </c>
      <c r="D27" s="71" t="s">
        <v>163</v>
      </c>
      <c r="E27" s="72" t="s">
        <v>1601</v>
      </c>
      <c r="F27" s="73">
        <v>91193064</v>
      </c>
      <c r="G27" s="73" t="s">
        <v>1602</v>
      </c>
      <c r="H27" s="71" t="s">
        <v>105</v>
      </c>
      <c r="I27" s="71" t="s">
        <v>951</v>
      </c>
      <c r="J27" s="71" t="s">
        <v>1603</v>
      </c>
      <c r="K27" s="71" t="s">
        <v>1583</v>
      </c>
      <c r="L27" s="73" t="s">
        <v>234</v>
      </c>
      <c r="M27" s="2" t="s">
        <v>89</v>
      </c>
      <c r="N27" s="2" t="s">
        <v>1604</v>
      </c>
      <c r="O27" s="2"/>
      <c r="P27" s="7"/>
    </row>
    <row r="28" spans="2:16">
      <c r="B28" s="69">
        <v>19</v>
      </c>
      <c r="C28" s="71" t="s">
        <v>1605</v>
      </c>
      <c r="D28" s="71" t="s">
        <v>163</v>
      </c>
      <c r="E28" s="72" t="s">
        <v>1606</v>
      </c>
      <c r="F28" s="73">
        <v>98505888</v>
      </c>
      <c r="G28" s="73" t="s">
        <v>1607</v>
      </c>
      <c r="H28" s="71" t="s">
        <v>37</v>
      </c>
      <c r="I28" s="71" t="s">
        <v>951</v>
      </c>
      <c r="J28" s="73"/>
      <c r="K28" s="73"/>
      <c r="L28" s="73"/>
      <c r="M28" s="2" t="s">
        <v>86</v>
      </c>
      <c r="N28" s="2"/>
      <c r="O28" s="2"/>
      <c r="P28" s="7"/>
    </row>
    <row r="29" spans="2:16">
      <c r="B29" s="69">
        <v>20</v>
      </c>
      <c r="C29" s="71" t="s">
        <v>1608</v>
      </c>
      <c r="D29" s="71" t="s">
        <v>163</v>
      </c>
      <c r="E29" s="72" t="s">
        <v>1609</v>
      </c>
      <c r="F29" s="73">
        <v>97565816</v>
      </c>
      <c r="G29" s="73" t="s">
        <v>1610</v>
      </c>
      <c r="H29" s="71" t="s">
        <v>37</v>
      </c>
      <c r="I29" s="71" t="s">
        <v>855</v>
      </c>
      <c r="J29" s="73">
        <v>5500</v>
      </c>
      <c r="K29" s="73" t="s">
        <v>1260</v>
      </c>
      <c r="L29" s="73" t="s">
        <v>856</v>
      </c>
      <c r="M29" s="2" t="s">
        <v>89</v>
      </c>
      <c r="N29" s="2"/>
      <c r="O29" s="2"/>
      <c r="P29" s="7"/>
    </row>
    <row r="30" spans="2:16">
      <c r="B30" s="69">
        <v>21</v>
      </c>
      <c r="C30" s="71" t="s">
        <v>1611</v>
      </c>
      <c r="D30" s="71" t="s">
        <v>163</v>
      </c>
      <c r="E30" s="72" t="s">
        <v>1612</v>
      </c>
      <c r="F30" s="73">
        <v>98269127</v>
      </c>
      <c r="G30" s="73" t="s">
        <v>1613</v>
      </c>
      <c r="H30" s="71" t="s">
        <v>105</v>
      </c>
      <c r="I30" s="71" t="s">
        <v>951</v>
      </c>
      <c r="J30" s="71" t="s">
        <v>1614</v>
      </c>
      <c r="K30" s="71" t="s">
        <v>1583</v>
      </c>
      <c r="L30" s="73" t="s">
        <v>234</v>
      </c>
      <c r="M30" s="2" t="s">
        <v>89</v>
      </c>
      <c r="N30" s="2" t="s">
        <v>1615</v>
      </c>
      <c r="O30" s="2"/>
      <c r="P30" s="7"/>
    </row>
    <row r="31" spans="2:16">
      <c r="B31" s="69">
        <v>22</v>
      </c>
      <c r="C31" s="71" t="s">
        <v>1616</v>
      </c>
      <c r="D31" s="71" t="s">
        <v>163</v>
      </c>
      <c r="E31" s="72" t="s">
        <v>1617</v>
      </c>
      <c r="F31" s="73">
        <v>91737264</v>
      </c>
      <c r="G31" s="73"/>
      <c r="H31" s="71" t="s">
        <v>105</v>
      </c>
      <c r="I31" s="71" t="s">
        <v>855</v>
      </c>
      <c r="J31" s="71" t="s">
        <v>1618</v>
      </c>
      <c r="K31" s="71" t="s">
        <v>1619</v>
      </c>
      <c r="L31" s="73" t="s">
        <v>234</v>
      </c>
      <c r="M31" s="2" t="s">
        <v>75</v>
      </c>
      <c r="N31" s="2" t="s">
        <v>1620</v>
      </c>
      <c r="O31" s="2"/>
      <c r="P31" s="7"/>
    </row>
    <row r="32" spans="2:16">
      <c r="B32" s="69">
        <v>23</v>
      </c>
      <c r="C32" s="71" t="s">
        <v>1621</v>
      </c>
      <c r="D32" s="71" t="s">
        <v>163</v>
      </c>
      <c r="E32" s="72" t="s">
        <v>1622</v>
      </c>
      <c r="F32" s="73">
        <v>97648716</v>
      </c>
      <c r="G32" s="73" t="s">
        <v>1623</v>
      </c>
      <c r="H32" s="71" t="s">
        <v>37</v>
      </c>
      <c r="I32" s="71" t="s">
        <v>855</v>
      </c>
      <c r="J32" s="73">
        <v>6000</v>
      </c>
      <c r="K32" s="73" t="s">
        <v>1260</v>
      </c>
      <c r="L32" s="73" t="s">
        <v>234</v>
      </c>
      <c r="M32" s="2" t="s">
        <v>86</v>
      </c>
      <c r="N32" s="2" t="s">
        <v>1624</v>
      </c>
      <c r="O32" s="2"/>
      <c r="P32" s="7"/>
    </row>
    <row r="33" spans="2:16">
      <c r="B33" s="69">
        <v>24</v>
      </c>
      <c r="C33" s="71" t="s">
        <v>1625</v>
      </c>
      <c r="D33" s="71" t="s">
        <v>163</v>
      </c>
      <c r="E33" s="72" t="s">
        <v>1626</v>
      </c>
      <c r="F33" s="73">
        <v>91849755</v>
      </c>
      <c r="G33" s="73" t="s">
        <v>1627</v>
      </c>
      <c r="H33" s="71"/>
      <c r="I33" s="71"/>
      <c r="J33" s="73"/>
      <c r="K33" s="73"/>
      <c r="L33" s="73"/>
      <c r="M33" s="2" t="s">
        <v>83</v>
      </c>
      <c r="N33" s="2"/>
      <c r="O33" s="2"/>
      <c r="P33" s="7"/>
    </row>
    <row r="34" spans="2:16">
      <c r="B34" s="69">
        <v>25</v>
      </c>
      <c r="C34" s="71" t="s">
        <v>1628</v>
      </c>
      <c r="D34" s="71" t="s">
        <v>163</v>
      </c>
      <c r="E34" s="72" t="s">
        <v>1629</v>
      </c>
      <c r="F34" s="73">
        <v>83386134</v>
      </c>
      <c r="G34" s="73" t="s">
        <v>1630</v>
      </c>
      <c r="H34" s="71" t="s">
        <v>37</v>
      </c>
      <c r="I34" s="71" t="s">
        <v>951</v>
      </c>
      <c r="J34" s="73">
        <v>2850</v>
      </c>
      <c r="K34" s="73"/>
      <c r="L34" s="73" t="s">
        <v>234</v>
      </c>
      <c r="M34" s="2" t="s">
        <v>67</v>
      </c>
      <c r="N34" s="2"/>
      <c r="O34" s="2"/>
      <c r="P34" s="7"/>
    </row>
    <row r="35" spans="2:16">
      <c r="B35" s="69">
        <v>26</v>
      </c>
      <c r="C35" s="71" t="s">
        <v>1631</v>
      </c>
      <c r="D35" s="71" t="s">
        <v>163</v>
      </c>
      <c r="E35" s="72" t="s">
        <v>1632</v>
      </c>
      <c r="F35" s="73">
        <v>96959650</v>
      </c>
      <c r="G35" s="73" t="s">
        <v>1633</v>
      </c>
      <c r="H35" s="71" t="s">
        <v>37</v>
      </c>
      <c r="I35" s="71" t="s">
        <v>855</v>
      </c>
      <c r="J35" s="73" t="s">
        <v>1634</v>
      </c>
      <c r="K35" s="73"/>
      <c r="L35" s="73" t="s">
        <v>234</v>
      </c>
      <c r="M35" s="2" t="s">
        <v>89</v>
      </c>
      <c r="N35" s="2"/>
      <c r="O35" s="2"/>
      <c r="P35" s="7"/>
    </row>
    <row r="36" spans="2:16">
      <c r="B36" s="69">
        <v>27</v>
      </c>
      <c r="C36" s="71" t="s">
        <v>1635</v>
      </c>
      <c r="D36" s="71" t="s">
        <v>163</v>
      </c>
      <c r="E36" s="72" t="s">
        <v>1636</v>
      </c>
      <c r="F36" s="73">
        <v>97884168</v>
      </c>
      <c r="G36" s="73" t="s">
        <v>1637</v>
      </c>
      <c r="H36" s="71"/>
      <c r="I36" s="71"/>
      <c r="J36" s="73"/>
      <c r="K36" s="73"/>
      <c r="L36" s="73"/>
      <c r="M36" s="2"/>
      <c r="N36" s="2"/>
      <c r="O36" s="2"/>
      <c r="P36" s="7"/>
    </row>
    <row r="37" spans="2:16">
      <c r="B37" s="69">
        <v>28</v>
      </c>
      <c r="C37" s="71" t="s">
        <v>1638</v>
      </c>
      <c r="D37" s="71" t="s">
        <v>163</v>
      </c>
      <c r="E37" s="72" t="s">
        <v>1639</v>
      </c>
      <c r="F37" s="73">
        <v>96882926</v>
      </c>
      <c r="G37" s="73" t="s">
        <v>1640</v>
      </c>
      <c r="H37" s="71"/>
      <c r="I37" s="71"/>
      <c r="J37" s="73"/>
      <c r="K37" s="73"/>
      <c r="L37" s="73"/>
      <c r="M37" s="2" t="s">
        <v>86</v>
      </c>
      <c r="N37" s="2" t="s">
        <v>1466</v>
      </c>
      <c r="O37" s="2"/>
      <c r="P37" s="7"/>
    </row>
    <row r="38" spans="2:16">
      <c r="B38" s="69">
        <v>29</v>
      </c>
      <c r="C38" s="71" t="s">
        <v>1641</v>
      </c>
      <c r="D38" s="71" t="s">
        <v>163</v>
      </c>
      <c r="E38" s="72" t="s">
        <v>1642</v>
      </c>
      <c r="F38" s="73">
        <v>93679166</v>
      </c>
      <c r="G38" s="73" t="s">
        <v>1643</v>
      </c>
      <c r="H38" s="71" t="s">
        <v>105</v>
      </c>
      <c r="I38" s="71" t="s">
        <v>855</v>
      </c>
      <c r="J38" s="71" t="s">
        <v>1644</v>
      </c>
      <c r="K38" s="71" t="s">
        <v>1583</v>
      </c>
      <c r="L38" s="73" t="s">
        <v>234</v>
      </c>
      <c r="M38" s="2" t="s">
        <v>86</v>
      </c>
      <c r="N38" s="2" t="s">
        <v>1645</v>
      </c>
      <c r="O38" s="2"/>
      <c r="P38" s="7"/>
    </row>
    <row r="39" spans="2:16">
      <c r="B39" s="69">
        <v>30</v>
      </c>
      <c r="C39" s="71" t="s">
        <v>1646</v>
      </c>
      <c r="D39" s="71" t="s">
        <v>163</v>
      </c>
      <c r="E39" s="72" t="s">
        <v>1647</v>
      </c>
      <c r="F39" s="73">
        <v>97720003</v>
      </c>
      <c r="G39" s="73" t="s">
        <v>1648</v>
      </c>
      <c r="H39" s="71" t="s">
        <v>37</v>
      </c>
      <c r="I39" s="71" t="s">
        <v>951</v>
      </c>
      <c r="J39" s="73"/>
      <c r="K39" s="73"/>
      <c r="L39" s="73"/>
      <c r="M39" s="2" t="s">
        <v>86</v>
      </c>
      <c r="N39" s="2"/>
      <c r="O39" s="2"/>
      <c r="P39" s="7"/>
    </row>
    <row r="40" spans="2:16">
      <c r="B40" s="69">
        <v>31</v>
      </c>
      <c r="C40" s="71" t="s">
        <v>1649</v>
      </c>
      <c r="D40" s="71" t="s">
        <v>163</v>
      </c>
      <c r="E40" s="72" t="s">
        <v>1650</v>
      </c>
      <c r="F40" s="73">
        <v>83381636</v>
      </c>
      <c r="G40" s="73"/>
      <c r="H40" s="71" t="s">
        <v>105</v>
      </c>
      <c r="I40" s="71" t="s">
        <v>855</v>
      </c>
      <c r="J40" s="71" t="s">
        <v>1651</v>
      </c>
      <c r="K40" s="71" t="s">
        <v>1652</v>
      </c>
      <c r="L40" s="73" t="s">
        <v>234</v>
      </c>
      <c r="M40" s="2" t="s">
        <v>89</v>
      </c>
      <c r="N40" s="2" t="s">
        <v>1653</v>
      </c>
      <c r="O40" s="2"/>
      <c r="P40" s="7"/>
    </row>
    <row r="41" spans="2:16">
      <c r="B41" s="77">
        <v>32</v>
      </c>
      <c r="C41" s="78" t="s">
        <v>1654</v>
      </c>
      <c r="D41" s="75" t="s">
        <v>163</v>
      </c>
      <c r="E41" s="79" t="s">
        <v>1655</v>
      </c>
      <c r="F41" s="76">
        <v>98181368</v>
      </c>
      <c r="G41" s="76" t="s">
        <v>1656</v>
      </c>
      <c r="H41" s="75" t="s">
        <v>37</v>
      </c>
      <c r="I41" s="75" t="s">
        <v>855</v>
      </c>
      <c r="J41" s="76">
        <v>2500</v>
      </c>
      <c r="K41" s="76"/>
      <c r="L41" s="76" t="s">
        <v>856</v>
      </c>
      <c r="M41" s="8" t="s">
        <v>75</v>
      </c>
      <c r="N41" s="11" t="s">
        <v>1657</v>
      </c>
      <c r="O41" s="8"/>
      <c r="P41" s="9"/>
    </row>
  </sheetData>
  <sheetProtection algorithmName="SHA-512" hashValue="P6yRBS3n0C96l3qUC0OmBYoYAfIITQMDpBmo3rxbsQj11E6icyCBR5rgNGFxJjIfOQ/WCsJPlF/dHqzN4R6hoA==" saltValue="tyBUwTjL+YjbvA+sNx2XMQ==" spinCount="100000" sheet="1" objects="1" scenarios="1" selectLockedCells="1"/>
  <mergeCells count="5">
    <mergeCell ref="D6:L6"/>
    <mergeCell ref="D2:L2"/>
    <mergeCell ref="D3:L3"/>
    <mergeCell ref="D4:L4"/>
    <mergeCell ref="D5:L5"/>
  </mergeCells>
  <conditionalFormatting sqref="M10:M1048576">
    <cfRule type="cellIs" dxfId="25" priority="1" operator="equal">
      <formula>"[PE] KIV"</formula>
    </cfRule>
    <cfRule type="containsText" dxfId="24" priority="23" operator="containsText" text="[AE] Failed Screening Questions">
      <formula>NOT(ISERROR(SEARCH("[AE] Failed Screening Questions",M10)))</formula>
    </cfRule>
    <cfRule type="containsText" dxfId="23" priority="24" operator="containsText" text="[PE] Withdrawn">
      <formula>NOT(ISERROR(SEARCH("[PE] Withdrawn",M10)))</formula>
    </cfRule>
    <cfRule type="containsText" dxfId="22" priority="25" operator="containsText" text="[AE] Failed Interview &amp; Provide Reasons">
      <formula>NOT(ISERROR(SEARCH("[AE] Failed Interview &amp; Provide Reasons",M10)))</formula>
    </cfRule>
    <cfRule type="containsText" dxfId="21" priority="32" operator="containsText" text="[PE]">
      <formula>NOT(ISERROR(SEARCH("[PE]",M10)))</formula>
    </cfRule>
    <cfRule type="containsText" dxfId="20" priority="33" operator="containsText" text="[AE]">
      <formula>NOT(ISERROR(SEARCH("[AE]",M10)))</formula>
    </cfRule>
  </conditionalFormatting>
  <dataValidations count="3">
    <dataValidation type="list" allowBlank="1" showInputMessage="1" showErrorMessage="1" sqref="D10:D1048576" xr:uid="{00000000-0002-0000-1100-000000000000}">
      <formula1>"Singaporean, SPR"</formula1>
    </dataValidation>
    <dataValidation type="list" allowBlank="1" showInputMessage="1" showErrorMessage="1" sqref="I10:I1048576" xr:uid="{00000000-0002-0000-1100-000001000000}">
      <formula1>"Yes, No"</formula1>
    </dataValidation>
    <dataValidation type="list" allowBlank="1" showInputMessage="1" showErrorMessage="1" sqref="H10:H1048576" xr:uid="{00000000-0002-0000-1100-000002000000}">
      <formula1>"Yan Yee, Edward, Keely, Donny, Ace, Joyce, Amanda, Jaclyn, Charlotte, Jiaxin, Mandy"</formula1>
    </dataValidation>
  </dataValidations>
  <hyperlinks>
    <hyperlink ref="D3" r:id="rId1" xr:uid="{00000000-0004-0000-1100-000000000000}"/>
  </hyperlinks>
  <pageMargins left="0.7" right="0.7" top="0.75" bottom="0.75" header="0.3" footer="0.3"/>
  <pageSetup paperSize="9" orientation="portrait" horizontalDpi="4294967295" verticalDpi="4294967295"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100-000003000000}">
          <x14:formula1>
            <xm:f>'Main Page'!$O$3:$O$14</xm:f>
          </x14:formula1>
          <xm:sqref>M10:M1048576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B449B8B7C4DE46A7761C9BD71D4E19" ma:contentTypeVersion="4" ma:contentTypeDescription="Create a new document." ma:contentTypeScope="" ma:versionID="c5a9c41704e1073d322841dbaef7ca98">
  <xsd:schema xmlns:xsd="http://www.w3.org/2001/XMLSchema" xmlns:xs="http://www.w3.org/2001/XMLSchema" xmlns:p="http://schemas.microsoft.com/office/2006/metadata/properties" xmlns:ns2="65f9858f-0d4e-4a57-b847-c8e93da6f68b" targetNamespace="http://schemas.microsoft.com/office/2006/metadata/properties" ma:root="true" ma:fieldsID="cbfb9ef07d9c993b447aac839c43ee88" ns2:_="">
    <xsd:import namespace="65f9858f-0d4e-4a57-b847-c8e93da6f6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f9858f-0d4e-4a57-b847-c8e93da6f6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1CBEB762-BECE-4AF1-9380-41C4A01B608B}"/>
</file>

<file path=customXml/itemProps2.xml><?xml version="1.0" encoding="utf-8"?>
<ds:datastoreItem xmlns:ds="http://schemas.openxmlformats.org/officeDocument/2006/customXml" ds:itemID="{A7B55D45-F40E-42F7-8D41-46DC3F6386F5}"/>
</file>

<file path=customXml/itemProps3.xml><?xml version="1.0" encoding="utf-8"?>
<ds:datastoreItem xmlns:ds="http://schemas.openxmlformats.org/officeDocument/2006/customXml" ds:itemID="{DC2A08FE-4350-47CC-9D73-F2AACEA17A6D}"/>
</file>

<file path=customXml/itemProps4.xml><?xml version="1.0" encoding="utf-8"?>
<ds:datastoreItem xmlns:ds="http://schemas.openxmlformats.org/officeDocument/2006/customXml" ds:itemID="{011039ED-6D71-45D3-990F-1B3894C23A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Jiaxin Chen</dc:creator>
  <cp:keywords/>
  <dc:description/>
  <cp:lastModifiedBy>Joo Lim Ong (NCS)</cp:lastModifiedBy>
  <cp:revision/>
  <dcterms:created xsi:type="dcterms:W3CDTF">2020-10-21T00:32:19Z</dcterms:created>
  <dcterms:modified xsi:type="dcterms:W3CDTF">2021-11-05T09:54:58Z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0x01010005B449B8B7C4DE46A7761C9BD71D4E19</vt:lpwstr>
  </property>
</Properties>
</file>