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filterPrivacy="1" hidePivotFieldList="1" defaultThemeVersion="124226"/>
  <bookViews>
    <workbookView xWindow="0" yWindow="0" windowWidth="16428" windowHeight="11112" tabRatio="731" firstSheet="1" activeTab="12"/>
  </bookViews>
  <sheets>
    <sheet name="P&amp;L-SOFP-Ratios" sheetId="4" r:id="rId1"/>
    <sheet name="P&amp;L Working" sheetId="26" r:id="rId2"/>
    <sheet name="SOFP working" sheetId="27" r:id="rId3"/>
    <sheet name="CashFlow" sheetId="11" r:id="rId4"/>
    <sheet name="Changes in Equity" sheetId="28" r:id="rId5"/>
    <sheet name="18ppe" sheetId="22" state="hidden" r:id="rId6"/>
    <sheet name="19ppe" sheetId="19" state="hidden" r:id="rId7"/>
    <sheet name="22ppe" sheetId="23" state="hidden" r:id="rId8"/>
    <sheet name="PPE" sheetId="18" r:id="rId9"/>
    <sheet name="Commonsize Analysis" sheetId="5" r:id="rId10"/>
    <sheet name="Dupont Analysis" sheetId="6" r:id="rId11"/>
    <sheet name="FCFF" sheetId="24" r:id="rId12"/>
    <sheet name="DDM" sheetId="25" r:id="rId13"/>
    <sheet name="Relative market valuation" sheetId="29" r:id="rId14"/>
    <sheet name="Business descriptions Workings" sheetId="9" state="hidden" r:id="rId15"/>
  </sheets>
  <externalReferences>
    <externalReference r:id="rId16"/>
  </externalReferenc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26" l="1"/>
  <c r="C6" i="26"/>
  <c r="D6" i="26"/>
  <c r="E6" i="26"/>
  <c r="F6" i="26"/>
  <c r="B47" i="24"/>
  <c r="N13" i="4"/>
  <c r="O13" i="4"/>
  <c r="M16" i="4"/>
  <c r="D26" i="4"/>
  <c r="E26" i="4"/>
  <c r="C26" i="4"/>
  <c r="N16" i="4"/>
  <c r="O16" i="4"/>
  <c r="M13" i="4"/>
  <c r="B64" i="24"/>
  <c r="E75" i="4"/>
  <c r="H10" i="25"/>
  <c r="I10" i="25"/>
  <c r="J10" i="25"/>
  <c r="K10" i="25"/>
  <c r="C7" i="26" l="1"/>
  <c r="F7" i="26"/>
  <c r="D7" i="26"/>
  <c r="E7" i="26"/>
  <c r="B18" i="24"/>
  <c r="B19" i="24"/>
  <c r="H48" i="4" l="1"/>
  <c r="I48" i="4"/>
  <c r="J48" i="4"/>
  <c r="K48" i="4"/>
  <c r="G20" i="11"/>
  <c r="H20" i="11" s="1"/>
  <c r="I20" i="11" s="1"/>
  <c r="AU6" i="29"/>
  <c r="AR20" i="29" s="1"/>
  <c r="AK6" i="29"/>
  <c r="AH20" i="29" s="1"/>
  <c r="AA6" i="29"/>
  <c r="Q6" i="29"/>
  <c r="N20" i="29" s="1"/>
  <c r="G6" i="29"/>
  <c r="D20" i="29" s="1"/>
  <c r="F126" i="29"/>
  <c r="E126" i="29"/>
  <c r="D126" i="29"/>
  <c r="C126" i="29"/>
  <c r="B126" i="29"/>
  <c r="F125" i="29"/>
  <c r="E125" i="29"/>
  <c r="D125" i="29"/>
  <c r="C125" i="29"/>
  <c r="B125" i="29"/>
  <c r="F119" i="29"/>
  <c r="C23" i="29" s="1"/>
  <c r="E119" i="29"/>
  <c r="D119" i="29"/>
  <c r="C119" i="29"/>
  <c r="B119" i="29"/>
  <c r="F118" i="29"/>
  <c r="E118" i="29"/>
  <c r="D118" i="29"/>
  <c r="C118" i="29"/>
  <c r="B118" i="29"/>
  <c r="F117" i="29"/>
  <c r="E117" i="29"/>
  <c r="D117" i="29"/>
  <c r="W21" i="29" s="1"/>
  <c r="C117" i="29"/>
  <c r="B117" i="29"/>
  <c r="F110" i="29"/>
  <c r="E8" i="29" s="1"/>
  <c r="E110" i="29"/>
  <c r="O8" i="29" s="1"/>
  <c r="D110" i="29"/>
  <c r="C110" i="29"/>
  <c r="B110" i="29"/>
  <c r="AS8" i="29" s="1"/>
  <c r="F109" i="29"/>
  <c r="E7" i="29" s="1"/>
  <c r="F7" i="29" s="1"/>
  <c r="E109" i="29"/>
  <c r="D109" i="29"/>
  <c r="C109" i="29"/>
  <c r="B109" i="29"/>
  <c r="AS7" i="29" s="1"/>
  <c r="AT7" i="29" s="1"/>
  <c r="E104" i="29"/>
  <c r="E103" i="29"/>
  <c r="O101" i="29"/>
  <c r="O104" i="29" s="1"/>
  <c r="H9" i="29" s="1"/>
  <c r="B101" i="29"/>
  <c r="B104" i="29" s="1"/>
  <c r="L100" i="29"/>
  <c r="L101" i="29" s="1"/>
  <c r="L104" i="29" s="1"/>
  <c r="R9" i="29" s="1"/>
  <c r="H100" i="29"/>
  <c r="H101" i="29" s="1"/>
  <c r="H104" i="29" s="1"/>
  <c r="AB9" i="29" s="1"/>
  <c r="E100" i="29"/>
  <c r="E101" i="29" s="1"/>
  <c r="D90" i="29"/>
  <c r="AV8" i="29" s="1"/>
  <c r="B90" i="29"/>
  <c r="Y89" i="29"/>
  <c r="S89" i="29"/>
  <c r="N89" i="29"/>
  <c r="I89" i="29"/>
  <c r="D89" i="29"/>
  <c r="N88" i="29"/>
  <c r="N90" i="29" s="1"/>
  <c r="AB8" i="29" s="1"/>
  <c r="Y87" i="29"/>
  <c r="S87" i="29"/>
  <c r="L87" i="29"/>
  <c r="N87" i="29" s="1"/>
  <c r="I87" i="29"/>
  <c r="G87" i="29"/>
  <c r="D87" i="29"/>
  <c r="Y86" i="29"/>
  <c r="Y88" i="29" s="1"/>
  <c r="Y90" i="29" s="1"/>
  <c r="H8" i="29" s="1"/>
  <c r="S86" i="29"/>
  <c r="S88" i="29" s="1"/>
  <c r="S90" i="29" s="1"/>
  <c r="R8" i="29" s="1"/>
  <c r="N86" i="29"/>
  <c r="I86" i="29"/>
  <c r="D86" i="29"/>
  <c r="D88" i="29" s="1"/>
  <c r="W75" i="29"/>
  <c r="Q75" i="29"/>
  <c r="L75" i="29"/>
  <c r="G75" i="29"/>
  <c r="Y74" i="29"/>
  <c r="S74" i="29"/>
  <c r="N74" i="29"/>
  <c r="I74" i="29"/>
  <c r="D74" i="29"/>
  <c r="Y73" i="29"/>
  <c r="S73" i="29"/>
  <c r="N73" i="29"/>
  <c r="G73" i="29"/>
  <c r="I73" i="29" s="1"/>
  <c r="D73" i="29"/>
  <c r="B72" i="29"/>
  <c r="B75" i="29" s="1"/>
  <c r="Y71" i="29"/>
  <c r="S71" i="29"/>
  <c r="N71" i="29"/>
  <c r="I71" i="29"/>
  <c r="I72" i="29" s="1"/>
  <c r="D71" i="29"/>
  <c r="Y70" i="29"/>
  <c r="S70" i="29"/>
  <c r="N70" i="29"/>
  <c r="I70" i="29"/>
  <c r="D70" i="29"/>
  <c r="Y69" i="29"/>
  <c r="Y72" i="29" s="1"/>
  <c r="Z72" i="29" s="1"/>
  <c r="S69" i="29"/>
  <c r="S72" i="29" s="1"/>
  <c r="N69" i="29"/>
  <c r="I69" i="29"/>
  <c r="D69" i="29"/>
  <c r="D72" i="29" s="1"/>
  <c r="E72" i="29" s="1"/>
  <c r="AT52" i="29"/>
  <c r="AR52" i="29" s="1"/>
  <c r="AQ52" i="29" s="1"/>
  <c r="AP52" i="29"/>
  <c r="AJ52" i="29"/>
  <c r="AK52" i="29" s="1"/>
  <c r="AL52" i="29" s="1"/>
  <c r="AA52" i="29"/>
  <c r="AB52" i="29" s="1"/>
  <c r="Z52" i="29"/>
  <c r="P52" i="29"/>
  <c r="Q52" i="29" s="1"/>
  <c r="R52" i="29" s="1"/>
  <c r="F52" i="29"/>
  <c r="G52" i="29" s="1"/>
  <c r="H52" i="29" s="1"/>
  <c r="AT50" i="29"/>
  <c r="AR50" i="29" s="1"/>
  <c r="AQ50" i="29" s="1"/>
  <c r="AP50" i="29"/>
  <c r="AJ50" i="29"/>
  <c r="AK50" i="29" s="1"/>
  <c r="AL50" i="29" s="1"/>
  <c r="AA50" i="29"/>
  <c r="AB50" i="29" s="1"/>
  <c r="Z50" i="29"/>
  <c r="P50" i="29"/>
  <c r="Q50" i="29" s="1"/>
  <c r="R50" i="29" s="1"/>
  <c r="F50" i="29"/>
  <c r="G50" i="29" s="1"/>
  <c r="H50" i="29" s="1"/>
  <c r="AQ23" i="29"/>
  <c r="AP23" i="29"/>
  <c r="AI23" i="29"/>
  <c r="AG23" i="29"/>
  <c r="AF23" i="29"/>
  <c r="Y23" i="29"/>
  <c r="X23" i="29"/>
  <c r="W23" i="29"/>
  <c r="V23" i="29"/>
  <c r="O23" i="29"/>
  <c r="N23" i="29"/>
  <c r="M23" i="29"/>
  <c r="L23" i="29"/>
  <c r="B23" i="29"/>
  <c r="AP22" i="29"/>
  <c r="W22" i="29"/>
  <c r="C22" i="29"/>
  <c r="AS21" i="29"/>
  <c r="AQ21" i="29"/>
  <c r="AP21" i="29"/>
  <c r="AI21" i="29"/>
  <c r="AH21" i="29"/>
  <c r="AG21" i="29"/>
  <c r="AF21" i="29"/>
  <c r="V21" i="29"/>
  <c r="M21" i="29"/>
  <c r="L21" i="29"/>
  <c r="E21" i="29"/>
  <c r="D21" i="29"/>
  <c r="C21" i="29"/>
  <c r="B21" i="29"/>
  <c r="AP20" i="29"/>
  <c r="AF20" i="29"/>
  <c r="V20" i="29"/>
  <c r="O20" i="29"/>
  <c r="L20" i="29"/>
  <c r="E20" i="29"/>
  <c r="B20" i="29"/>
  <c r="AW9" i="29"/>
  <c r="AV9" i="29"/>
  <c r="AU9" i="29"/>
  <c r="AR9" i="29"/>
  <c r="AL9" i="29"/>
  <c r="AJ9" i="29"/>
  <c r="AL23" i="29" s="1"/>
  <c r="AH9" i="29"/>
  <c r="AH23" i="29" s="1"/>
  <c r="Y9" i="29"/>
  <c r="Z9" i="29" s="1"/>
  <c r="X9" i="29"/>
  <c r="O9" i="29"/>
  <c r="P9" i="29" s="1"/>
  <c r="N9" i="29"/>
  <c r="D9" i="29"/>
  <c r="E23" i="29" s="1"/>
  <c r="AX8" i="29"/>
  <c r="AW8" i="29"/>
  <c r="AU8" i="29"/>
  <c r="AP8" i="29"/>
  <c r="AR8" i="29" s="1"/>
  <c r="AN8" i="29"/>
  <c r="AM8" i="29"/>
  <c r="AK8" i="29"/>
  <c r="AI8" i="29"/>
  <c r="AF8" i="29"/>
  <c r="AD8" i="29"/>
  <c r="AC8" i="29"/>
  <c r="AA8" i="29"/>
  <c r="Y8" i="29"/>
  <c r="X8" i="29"/>
  <c r="Z8" i="29" s="1"/>
  <c r="V8" i="29"/>
  <c r="V22" i="29" s="1"/>
  <c r="T8" i="29"/>
  <c r="S8" i="29"/>
  <c r="Q8" i="29"/>
  <c r="L8" i="29"/>
  <c r="M22" i="29" s="1"/>
  <c r="J8" i="29"/>
  <c r="I8" i="29"/>
  <c r="G8" i="29"/>
  <c r="B8" i="29"/>
  <c r="B22" i="29" s="1"/>
  <c r="AR7" i="29"/>
  <c r="AR21" i="29" s="1"/>
  <c r="AI7" i="29"/>
  <c r="AJ7" i="29" s="1"/>
  <c r="AH7" i="29"/>
  <c r="Y7" i="29"/>
  <c r="X7" i="29"/>
  <c r="Y21" i="29" s="1"/>
  <c r="O7" i="29"/>
  <c r="N7" i="29"/>
  <c r="N21" i="29" s="1"/>
  <c r="D7" i="29"/>
  <c r="AT6" i="29"/>
  <c r="AR6" i="29"/>
  <c r="AS20" i="29" s="1"/>
  <c r="AJ6" i="29"/>
  <c r="AH6" i="29"/>
  <c r="AI20" i="29" s="1"/>
  <c r="Z6" i="29"/>
  <c r="X6" i="29"/>
  <c r="P6" i="29"/>
  <c r="N6" i="29"/>
  <c r="F6" i="29"/>
  <c r="D6" i="29"/>
  <c r="F21" i="28"/>
  <c r="B49" i="24"/>
  <c r="X20" i="29" l="1"/>
  <c r="J20" i="11"/>
  <c r="K20" i="11" s="1"/>
  <c r="F20" i="29"/>
  <c r="H20" i="29"/>
  <c r="G20" i="29"/>
  <c r="Q20" i="29"/>
  <c r="P20" i="29"/>
  <c r="R20" i="29"/>
  <c r="AB20" i="29"/>
  <c r="AA20" i="29"/>
  <c r="Z20" i="29"/>
  <c r="AL20" i="29"/>
  <c r="AK20" i="29"/>
  <c r="AJ20" i="29"/>
  <c r="AT20" i="29"/>
  <c r="AV20" i="29"/>
  <c r="AU20" i="29"/>
  <c r="AJ21" i="29"/>
  <c r="AL21" i="29"/>
  <c r="AU21" i="29"/>
  <c r="AV21" i="29"/>
  <c r="G21" i="29"/>
  <c r="H21" i="29"/>
  <c r="AR22" i="29"/>
  <c r="AR31" i="29" s="1"/>
  <c r="AT8" i="29"/>
  <c r="AS22" i="29"/>
  <c r="AA23" i="29"/>
  <c r="AB23" i="29"/>
  <c r="Z23" i="29"/>
  <c r="P23" i="29"/>
  <c r="Q23" i="29"/>
  <c r="R23" i="29"/>
  <c r="S75" i="29"/>
  <c r="Q76" i="29" s="1"/>
  <c r="R7" i="29" s="1"/>
  <c r="T72" i="29"/>
  <c r="I75" i="29"/>
  <c r="G76" i="29" s="1"/>
  <c r="AL7" i="29" s="1"/>
  <c r="J72" i="29"/>
  <c r="AK21" i="29" s="1"/>
  <c r="Z22" i="29"/>
  <c r="L22" i="29"/>
  <c r="Y22" i="29"/>
  <c r="N8" i="29"/>
  <c r="F9" i="29"/>
  <c r="AP28" i="29"/>
  <c r="AA22" i="29"/>
  <c r="AQ22" i="29"/>
  <c r="AQ35" i="29" s="1"/>
  <c r="Y75" i="29"/>
  <c r="W76" i="29" s="1"/>
  <c r="H7" i="29" s="1"/>
  <c r="F21" i="29" s="1"/>
  <c r="Z7" i="29"/>
  <c r="D8" i="29"/>
  <c r="AG22" i="29"/>
  <c r="AS23" i="29"/>
  <c r="AT9" i="29"/>
  <c r="O21" i="29"/>
  <c r="AQ34" i="29"/>
  <c r="AB22" i="29"/>
  <c r="AJ23" i="29"/>
  <c r="AR23" i="29"/>
  <c r="AP29" i="29"/>
  <c r="AU50" i="29"/>
  <c r="AV50" i="29" s="1"/>
  <c r="AU52" i="29"/>
  <c r="AV52" i="29" s="1"/>
  <c r="I88" i="29"/>
  <c r="I90" i="29" s="1"/>
  <c r="AL8" i="29" s="1"/>
  <c r="P7" i="29"/>
  <c r="AH8" i="29"/>
  <c r="Y20" i="29"/>
  <c r="X21" i="29"/>
  <c r="X22" i="29"/>
  <c r="AF22" i="29"/>
  <c r="D23" i="29"/>
  <c r="AK23" i="29"/>
  <c r="N72" i="29"/>
  <c r="D75" i="29"/>
  <c r="B76" i="29" s="1"/>
  <c r="AV7" i="29" s="1"/>
  <c r="AT21" i="29" s="1"/>
  <c r="B63" i="24"/>
  <c r="AJ8" i="29" l="1"/>
  <c r="AI22" i="29"/>
  <c r="AH22" i="29"/>
  <c r="H23" i="29"/>
  <c r="G23" i="29"/>
  <c r="F23" i="29"/>
  <c r="AV22" i="29"/>
  <c r="AT22" i="29"/>
  <c r="AT39" i="29" s="1"/>
  <c r="AT49" i="29" s="1"/>
  <c r="AT51" i="29" s="1"/>
  <c r="AT53" i="29" s="1"/>
  <c r="AU22" i="29"/>
  <c r="AU41" i="29" s="1"/>
  <c r="AV45" i="29"/>
  <c r="AV49" i="29" s="1"/>
  <c r="AV51" i="29" s="1"/>
  <c r="AV53" i="29" s="1"/>
  <c r="O72" i="29"/>
  <c r="N75" i="29"/>
  <c r="L76" i="29" s="1"/>
  <c r="AB7" i="29" s="1"/>
  <c r="R21" i="29"/>
  <c r="P21" i="29"/>
  <c r="Q21" i="29"/>
  <c r="O22" i="29"/>
  <c r="P8" i="29"/>
  <c r="N22" i="29"/>
  <c r="AU42" i="29"/>
  <c r="AU49" i="29" s="1"/>
  <c r="AU51" i="29" s="1"/>
  <c r="AU53" i="29" s="1"/>
  <c r="D22" i="29"/>
  <c r="F8" i="29"/>
  <c r="E22" i="29"/>
  <c r="AR32" i="29"/>
  <c r="AR49" i="29" s="1"/>
  <c r="AR51" i="29" s="1"/>
  <c r="AR53" i="29" s="1"/>
  <c r="AT23" i="29"/>
  <c r="AV23" i="29"/>
  <c r="AV44" i="29" s="1"/>
  <c r="AU23" i="29"/>
  <c r="AB21" i="29"/>
  <c r="AB44" i="29" s="1"/>
  <c r="AA21" i="29"/>
  <c r="AA41" i="29" s="1"/>
  <c r="Z21" i="29"/>
  <c r="Z38" i="29"/>
  <c r="Z39" i="29"/>
  <c r="Z49" i="29" s="1"/>
  <c r="Z51" i="29" s="1"/>
  <c r="Z53" i="29" s="1"/>
  <c r="G8" i="25"/>
  <c r="G10" i="25" s="1"/>
  <c r="R44" i="29" l="1"/>
  <c r="P22" i="29"/>
  <c r="P39" i="29" s="1"/>
  <c r="P49" i="29" s="1"/>
  <c r="P51" i="29" s="1"/>
  <c r="P53" i="29" s="1"/>
  <c r="R22" i="29"/>
  <c r="R45" i="29" s="1"/>
  <c r="R49" i="29" s="1"/>
  <c r="R51" i="29" s="1"/>
  <c r="R53" i="29" s="1"/>
  <c r="Q22" i="29"/>
  <c r="Q41" i="29" s="1"/>
  <c r="AA42" i="29"/>
  <c r="AA49" i="29" s="1"/>
  <c r="AA51" i="29" s="1"/>
  <c r="AA53" i="29" s="1"/>
  <c r="H22" i="29"/>
  <c r="G22" i="29"/>
  <c r="F22" i="29"/>
  <c r="AB45" i="29"/>
  <c r="AB49" i="29" s="1"/>
  <c r="AB51" i="29" s="1"/>
  <c r="AB53" i="29" s="1"/>
  <c r="Q42" i="29"/>
  <c r="Q49" i="29" s="1"/>
  <c r="Q51" i="29" s="1"/>
  <c r="Q53" i="29" s="1"/>
  <c r="AK22" i="29"/>
  <c r="AL22" i="29"/>
  <c r="AJ22" i="29"/>
  <c r="AT38" i="29"/>
  <c r="K12" i="24"/>
  <c r="B21" i="24" s="1"/>
  <c r="A12" i="24"/>
  <c r="H45" i="29" l="1"/>
  <c r="H49" i="29" s="1"/>
  <c r="H51" i="29" s="1"/>
  <c r="H53" i="29" s="1"/>
  <c r="H44" i="29"/>
  <c r="AJ39" i="29"/>
  <c r="AJ49" i="29" s="1"/>
  <c r="AJ51" i="29" s="1"/>
  <c r="AJ53" i="29" s="1"/>
  <c r="AJ38" i="29"/>
  <c r="AL44" i="29"/>
  <c r="AL45" i="29"/>
  <c r="AL49" i="29" s="1"/>
  <c r="AL51" i="29" s="1"/>
  <c r="AL53" i="29" s="1"/>
  <c r="F39" i="29"/>
  <c r="F49" i="29" s="1"/>
  <c r="F51" i="29" s="1"/>
  <c r="F53" i="29" s="1"/>
  <c r="F38" i="29"/>
  <c r="P38" i="29"/>
  <c r="AK41" i="29"/>
  <c r="AK42" i="29"/>
  <c r="AK49" i="29" s="1"/>
  <c r="AK51" i="29" s="1"/>
  <c r="AK53" i="29" s="1"/>
  <c r="G42" i="29"/>
  <c r="G49" i="29" s="1"/>
  <c r="G51" i="29" s="1"/>
  <c r="G53" i="29" s="1"/>
  <c r="G41" i="29"/>
  <c r="B56" i="24"/>
  <c r="B50" i="24" l="1"/>
  <c r="H113" i="5"/>
  <c r="I113" i="5"/>
  <c r="J113" i="5"/>
  <c r="K113" i="5"/>
  <c r="F360" i="18"/>
  <c r="E360" i="18"/>
  <c r="D360" i="18"/>
  <c r="E359" i="18"/>
  <c r="D359" i="18"/>
  <c r="E357" i="18"/>
  <c r="F357" i="18"/>
  <c r="D357" i="18"/>
  <c r="E354" i="18"/>
  <c r="F354" i="18"/>
  <c r="D354" i="18"/>
  <c r="E367" i="18"/>
  <c r="E370" i="18" s="1"/>
  <c r="F367" i="18"/>
  <c r="F370" i="18" s="1"/>
  <c r="D367" i="18"/>
  <c r="D371" i="18" s="1"/>
  <c r="G348" i="18"/>
  <c r="H348" i="18" s="1"/>
  <c r="I348" i="18" s="1"/>
  <c r="G347" i="18"/>
  <c r="H347" i="18" s="1"/>
  <c r="I347" i="18" s="1"/>
  <c r="G345" i="18"/>
  <c r="H345" i="18" s="1"/>
  <c r="I345" i="18" s="1"/>
  <c r="F349" i="18"/>
  <c r="G344" i="18" s="1"/>
  <c r="E349" i="18"/>
  <c r="D349" i="18"/>
  <c r="C51" i="11"/>
  <c r="D51" i="11"/>
  <c r="E51" i="11"/>
  <c r="F51" i="11"/>
  <c r="B51" i="11"/>
  <c r="G15" i="11"/>
  <c r="H15" i="11" s="1"/>
  <c r="I15" i="11" s="1"/>
  <c r="C84" i="26"/>
  <c r="D84" i="26"/>
  <c r="E84" i="26"/>
  <c r="F84" i="26"/>
  <c r="B84" i="26"/>
  <c r="G51" i="11" l="1"/>
  <c r="H51" i="11" s="1"/>
  <c r="I51" i="11" s="1"/>
  <c r="J51" i="11" s="1"/>
  <c r="K51" i="11" s="1"/>
  <c r="F359" i="18"/>
  <c r="G359" i="18" s="1"/>
  <c r="H359" i="18" s="1"/>
  <c r="G357" i="18"/>
  <c r="H357" i="18" s="1"/>
  <c r="I357" i="18" s="1"/>
  <c r="G354" i="18"/>
  <c r="H354" i="18" s="1"/>
  <c r="I354" i="18" s="1"/>
  <c r="F371" i="18"/>
  <c r="F372" i="18" s="1"/>
  <c r="D370" i="18"/>
  <c r="E371" i="18"/>
  <c r="J348" i="18"/>
  <c r="K348" i="18" s="1"/>
  <c r="J347" i="18"/>
  <c r="K347" i="18" s="1"/>
  <c r="G349" i="18"/>
  <c r="J345" i="18"/>
  <c r="K345" i="18" s="1"/>
  <c r="J15" i="11"/>
  <c r="K15" i="11" s="1"/>
  <c r="H344" i="18" l="1"/>
  <c r="H349" i="18" s="1"/>
  <c r="G35" i="4"/>
  <c r="I359" i="18"/>
  <c r="J359" i="18"/>
  <c r="K359" i="18" s="1"/>
  <c r="J357" i="18"/>
  <c r="K357" i="18" s="1"/>
  <c r="J354" i="18"/>
  <c r="K354" i="18" s="1"/>
  <c r="G370" i="18"/>
  <c r="D372" i="18"/>
  <c r="E372" i="18"/>
  <c r="G371" i="18"/>
  <c r="I344" i="18" l="1"/>
  <c r="I349" i="18" s="1"/>
  <c r="H35" i="4"/>
  <c r="H371" i="18"/>
  <c r="G372" i="18"/>
  <c r="H370" i="18"/>
  <c r="J344" i="18" l="1"/>
  <c r="J349" i="18" s="1"/>
  <c r="I35" i="4"/>
  <c r="I371" i="18"/>
  <c r="I370" i="18"/>
  <c r="H372" i="18"/>
  <c r="B247" i="27"/>
  <c r="C238" i="27" s="1"/>
  <c r="C247" i="27" s="1"/>
  <c r="D238" i="27" s="1"/>
  <c r="D247" i="27" s="1"/>
  <c r="E238" i="27" s="1"/>
  <c r="E247" i="27" s="1"/>
  <c r="F238" i="27" s="1"/>
  <c r="F247" i="27" s="1"/>
  <c r="G238" i="27" s="1"/>
  <c r="F257" i="27"/>
  <c r="E257" i="27"/>
  <c r="D257" i="27"/>
  <c r="C257" i="27"/>
  <c r="B257" i="27"/>
  <c r="B258" i="27"/>
  <c r="C250" i="27" s="1"/>
  <c r="C258" i="27" s="1"/>
  <c r="D250" i="27" s="1"/>
  <c r="D258" i="27" s="1"/>
  <c r="E250" i="27" s="1"/>
  <c r="E258" i="27" s="1"/>
  <c r="F250" i="27" s="1"/>
  <c r="F258" i="27" s="1"/>
  <c r="G250" i="27" s="1"/>
  <c r="F244" i="27"/>
  <c r="E244" i="27"/>
  <c r="E245" i="27" s="1"/>
  <c r="D244" i="27"/>
  <c r="D245" i="27" s="1"/>
  <c r="C244" i="27"/>
  <c r="C245" i="27" s="1"/>
  <c r="B244" i="27"/>
  <c r="B245" i="27" s="1"/>
  <c r="F241" i="27"/>
  <c r="E241" i="27"/>
  <c r="E242" i="27" s="1"/>
  <c r="D241" i="27"/>
  <c r="D242" i="27" s="1"/>
  <c r="C241" i="27"/>
  <c r="C242" i="27" s="1"/>
  <c r="B241" i="27"/>
  <c r="B242" i="27" s="1"/>
  <c r="B235" i="27"/>
  <c r="C226" i="27" s="1"/>
  <c r="C235" i="27" s="1"/>
  <c r="D226" i="27" s="1"/>
  <c r="D235" i="27" s="1"/>
  <c r="E226" i="27" s="1"/>
  <c r="E235" i="27" s="1"/>
  <c r="F226" i="27" s="1"/>
  <c r="F235" i="27" s="1"/>
  <c r="G226" i="27" s="1"/>
  <c r="F232" i="27"/>
  <c r="E232" i="27"/>
  <c r="E233" i="27" s="1"/>
  <c r="D232" i="27"/>
  <c r="D233" i="27" s="1"/>
  <c r="C232" i="27"/>
  <c r="C233" i="27" s="1"/>
  <c r="B232" i="27"/>
  <c r="B233" i="27" s="1"/>
  <c r="F229" i="27"/>
  <c r="E229" i="27"/>
  <c r="E230" i="27" s="1"/>
  <c r="D229" i="27"/>
  <c r="D230" i="27" s="1"/>
  <c r="C229" i="27"/>
  <c r="C230" i="27" s="1"/>
  <c r="B229" i="27"/>
  <c r="B230" i="27" s="1"/>
  <c r="B221" i="27"/>
  <c r="F220" i="27"/>
  <c r="E220" i="27"/>
  <c r="E221" i="27" s="1"/>
  <c r="D220" i="27"/>
  <c r="D221" i="27" s="1"/>
  <c r="C220" i="27"/>
  <c r="C221" i="27" s="1"/>
  <c r="F217" i="27"/>
  <c r="E217" i="27"/>
  <c r="E218" i="27" s="1"/>
  <c r="D217" i="27"/>
  <c r="D218" i="27" s="1"/>
  <c r="C217" i="27"/>
  <c r="C218" i="27" s="1"/>
  <c r="B217" i="27"/>
  <c r="B218" i="27" s="1"/>
  <c r="B223" i="27"/>
  <c r="C214" i="27" s="1"/>
  <c r="C223" i="27" s="1"/>
  <c r="D214" i="27" s="1"/>
  <c r="D223" i="27" s="1"/>
  <c r="E214" i="27" s="1"/>
  <c r="E223" i="27" s="1"/>
  <c r="F214" i="27" s="1"/>
  <c r="F223" i="27" s="1"/>
  <c r="G214" i="27" s="1"/>
  <c r="F208" i="27"/>
  <c r="E208" i="27"/>
  <c r="E209" i="27" s="1"/>
  <c r="D208" i="27"/>
  <c r="D209" i="27" s="1"/>
  <c r="C208" i="27"/>
  <c r="C209" i="27" s="1"/>
  <c r="B208" i="27"/>
  <c r="B209" i="27" s="1"/>
  <c r="F205" i="27"/>
  <c r="E205" i="27"/>
  <c r="D205" i="27"/>
  <c r="D206" i="27" s="1"/>
  <c r="C205" i="27"/>
  <c r="C206" i="27" s="1"/>
  <c r="B205" i="27"/>
  <c r="B206" i="27" s="1"/>
  <c r="B199" i="27"/>
  <c r="C188" i="27" s="1"/>
  <c r="C199" i="27" s="1"/>
  <c r="D188" i="27" s="1"/>
  <c r="D199" i="27" s="1"/>
  <c r="E188" i="27" s="1"/>
  <c r="E199" i="27" s="1"/>
  <c r="F188" i="27" s="1"/>
  <c r="F199" i="27" s="1"/>
  <c r="G188" i="27" s="1"/>
  <c r="F198" i="27"/>
  <c r="E198" i="27"/>
  <c r="D198" i="27"/>
  <c r="C198" i="27"/>
  <c r="B198" i="27"/>
  <c r="E196" i="27"/>
  <c r="D196" i="27"/>
  <c r="C196" i="27"/>
  <c r="B196" i="27"/>
  <c r="F194" i="27"/>
  <c r="E194" i="27"/>
  <c r="E195" i="27" s="1"/>
  <c r="D194" i="27"/>
  <c r="D195" i="27" s="1"/>
  <c r="C194" i="27"/>
  <c r="C195" i="27" s="1"/>
  <c r="B194" i="27"/>
  <c r="B195" i="27" s="1"/>
  <c r="F191" i="27"/>
  <c r="E191" i="27"/>
  <c r="E192" i="27" s="1"/>
  <c r="D191" i="27"/>
  <c r="D192" i="27" s="1"/>
  <c r="C191" i="27"/>
  <c r="C192" i="27" s="1"/>
  <c r="B191" i="27"/>
  <c r="B192" i="27" s="1"/>
  <c r="B184" i="27"/>
  <c r="C179" i="27" s="1"/>
  <c r="C184" i="27" s="1"/>
  <c r="D179" i="27" s="1"/>
  <c r="D184" i="27" s="1"/>
  <c r="E179" i="27" s="1"/>
  <c r="E184" i="27" s="1"/>
  <c r="F179" i="27" s="1"/>
  <c r="F184" i="27" s="1"/>
  <c r="G179" i="27" s="1"/>
  <c r="E183" i="27"/>
  <c r="D183" i="27"/>
  <c r="C183" i="27"/>
  <c r="B183" i="27"/>
  <c r="F175" i="27"/>
  <c r="E175" i="27"/>
  <c r="D175" i="27"/>
  <c r="C175" i="27"/>
  <c r="B175" i="27"/>
  <c r="B176" i="27" s="1"/>
  <c r="F173" i="27"/>
  <c r="E173" i="27"/>
  <c r="D173" i="27"/>
  <c r="C173" i="27"/>
  <c r="B173" i="27"/>
  <c r="F165" i="27"/>
  <c r="F163" i="27" s="1"/>
  <c r="E165" i="27"/>
  <c r="E163" i="27" s="1"/>
  <c r="D165" i="27"/>
  <c r="D163" i="27" s="1"/>
  <c r="C165" i="27"/>
  <c r="C163" i="27" s="1"/>
  <c r="B165" i="27"/>
  <c r="B163" i="27" s="1"/>
  <c r="G159" i="27"/>
  <c r="E158" i="27"/>
  <c r="D158" i="27"/>
  <c r="C158" i="27"/>
  <c r="B158" i="27"/>
  <c r="K344" i="18" l="1"/>
  <c r="K349" i="18" s="1"/>
  <c r="K35" i="4" s="1"/>
  <c r="J35" i="4"/>
  <c r="J371" i="18"/>
  <c r="I372" i="18"/>
  <c r="J370" i="18"/>
  <c r="G198" i="27"/>
  <c r="F196" i="27"/>
  <c r="F158" i="27"/>
  <c r="G158" i="27" s="1"/>
  <c r="H158" i="27" s="1"/>
  <c r="I158" i="27" s="1"/>
  <c r="G163" i="27"/>
  <c r="H163" i="27" s="1"/>
  <c r="I163" i="27" s="1"/>
  <c r="E185" i="27"/>
  <c r="F209" i="27"/>
  <c r="G209" i="27" s="1"/>
  <c r="H209" i="27" s="1"/>
  <c r="I209" i="27" s="1"/>
  <c r="E176" i="27"/>
  <c r="F242" i="27"/>
  <c r="F185" i="27"/>
  <c r="B185" i="27"/>
  <c r="H198" i="27"/>
  <c r="I198" i="27" s="1"/>
  <c r="J198" i="27" s="1"/>
  <c r="D185" i="27"/>
  <c r="D176" i="27"/>
  <c r="F195" i="27"/>
  <c r="G195" i="27" s="1"/>
  <c r="F233" i="27"/>
  <c r="G233" i="27" s="1"/>
  <c r="F230" i="27"/>
  <c r="G230" i="27" s="1"/>
  <c r="H230" i="27" s="1"/>
  <c r="F192" i="27"/>
  <c r="G192" i="27" s="1"/>
  <c r="F218" i="27"/>
  <c r="G173" i="27"/>
  <c r="F245" i="27"/>
  <c r="H159" i="27"/>
  <c r="I159" i="27" s="1"/>
  <c r="F183" i="27"/>
  <c r="F176" i="27"/>
  <c r="E206" i="27"/>
  <c r="C185" i="27"/>
  <c r="C176" i="27"/>
  <c r="F221" i="27"/>
  <c r="G221" i="27" s="1"/>
  <c r="G257" i="27"/>
  <c r="K371" i="18" l="1"/>
  <c r="K370" i="18"/>
  <c r="J372" i="18"/>
  <c r="G242" i="27"/>
  <c r="H195" i="27"/>
  <c r="I230" i="27"/>
  <c r="J230" i="27" s="1"/>
  <c r="G218" i="27"/>
  <c r="H218" i="27" s="1"/>
  <c r="I218" i="27" s="1"/>
  <c r="J159" i="27"/>
  <c r="K159" i="27" s="1"/>
  <c r="J158" i="27"/>
  <c r="K158" i="27" s="1"/>
  <c r="H221" i="27"/>
  <c r="H257" i="27"/>
  <c r="H233" i="27"/>
  <c r="I233" i="27" s="1"/>
  <c r="J163" i="27"/>
  <c r="K163" i="27" s="1"/>
  <c r="J209" i="27"/>
  <c r="K209" i="27" s="1"/>
  <c r="I257" i="27"/>
  <c r="J257" i="27" s="1"/>
  <c r="F206" i="27"/>
  <c r="G245" i="27"/>
  <c r="K198" i="27"/>
  <c r="B211" i="27"/>
  <c r="C202" i="27" s="1"/>
  <c r="C211" i="27" s="1"/>
  <c r="D202" i="27" s="1"/>
  <c r="D211" i="27" s="1"/>
  <c r="E202" i="27" s="1"/>
  <c r="E211" i="27" s="1"/>
  <c r="F202" i="27" s="1"/>
  <c r="H173" i="27"/>
  <c r="I173" i="27" s="1"/>
  <c r="I195" i="27"/>
  <c r="G183" i="27"/>
  <c r="G207" i="27" s="1"/>
  <c r="H192" i="27"/>
  <c r="I192" i="27" s="1"/>
  <c r="K372" i="18" l="1"/>
  <c r="H242" i="27"/>
  <c r="I242" i="27" s="1"/>
  <c r="G196" i="27"/>
  <c r="J173" i="27"/>
  <c r="K173" i="27" s="1"/>
  <c r="G219" i="27"/>
  <c r="J218" i="27"/>
  <c r="K218" i="27" s="1"/>
  <c r="F211" i="27"/>
  <c r="G202" i="27" s="1"/>
  <c r="K230" i="27"/>
  <c r="J233" i="27"/>
  <c r="K233" i="27" s="1"/>
  <c r="G243" i="27"/>
  <c r="H245" i="27"/>
  <c r="I245" i="27" s="1"/>
  <c r="G231" i="27"/>
  <c r="K257" i="27"/>
  <c r="G206" i="27"/>
  <c r="J192" i="27"/>
  <c r="J195" i="27"/>
  <c r="K192" i="27"/>
  <c r="I221" i="27"/>
  <c r="J221" i="27" s="1"/>
  <c r="H183" i="27"/>
  <c r="J242" i="27" l="1"/>
  <c r="K242" i="27" s="1"/>
  <c r="G255" i="27"/>
  <c r="H206" i="27"/>
  <c r="H243" i="27"/>
  <c r="H196" i="27"/>
  <c r="H207" i="27"/>
  <c r="K221" i="27"/>
  <c r="H231" i="27"/>
  <c r="I183" i="27"/>
  <c r="J245" i="27"/>
  <c r="H219" i="27"/>
  <c r="K195" i="27"/>
  <c r="I207" i="27" l="1"/>
  <c r="I196" i="27"/>
  <c r="I231" i="27"/>
  <c r="K245" i="27"/>
  <c r="J183" i="27"/>
  <c r="K183" i="27" s="1"/>
  <c r="I219" i="27"/>
  <c r="H255" i="27"/>
  <c r="I243" i="27"/>
  <c r="I206" i="27"/>
  <c r="K219" i="27" l="1"/>
  <c r="K196" i="27"/>
  <c r="J207" i="27"/>
  <c r="J219" i="27"/>
  <c r="J196" i="27"/>
  <c r="J231" i="27"/>
  <c r="K207" i="27"/>
  <c r="K231" i="27"/>
  <c r="K243" i="27"/>
  <c r="J206" i="27"/>
  <c r="K206" i="27" s="1"/>
  <c r="I255" i="27"/>
  <c r="J243" i="27"/>
  <c r="J255" i="27" l="1"/>
  <c r="K255" i="27"/>
  <c r="B37" i="24" l="1"/>
  <c r="D36" i="24"/>
  <c r="E36" i="24"/>
  <c r="F36" i="24"/>
  <c r="G36" i="24"/>
  <c r="D35" i="24"/>
  <c r="E35" i="24"/>
  <c r="F35" i="24"/>
  <c r="G35" i="24"/>
  <c r="D33" i="24"/>
  <c r="E33" i="24"/>
  <c r="F33" i="24"/>
  <c r="G33" i="24"/>
  <c r="D32" i="24"/>
  <c r="E32" i="24"/>
  <c r="F32" i="24"/>
  <c r="G32" i="24"/>
  <c r="D31" i="24"/>
  <c r="E31" i="24"/>
  <c r="E37" i="24" s="1"/>
  <c r="F31" i="24"/>
  <c r="G31" i="24"/>
  <c r="C36" i="24"/>
  <c r="C35" i="24"/>
  <c r="C33" i="24"/>
  <c r="C32" i="24"/>
  <c r="C31" i="24"/>
  <c r="C37" i="24" l="1"/>
  <c r="C38" i="24" s="1"/>
  <c r="B7" i="24" s="1"/>
  <c r="G37" i="24"/>
  <c r="D37" i="24"/>
  <c r="F37" i="24"/>
  <c r="F38" i="24" s="1"/>
  <c r="E7" i="24" s="1"/>
  <c r="D38" i="24" l="1"/>
  <c r="C7" i="24" s="1"/>
  <c r="G38" i="24"/>
  <c r="F7" i="24" s="1"/>
  <c r="E38" i="24"/>
  <c r="D7" i="24" s="1"/>
  <c r="C152" i="18"/>
  <c r="B152" i="18"/>
  <c r="B146" i="18"/>
  <c r="B145" i="18" s="1"/>
  <c r="F4" i="18"/>
  <c r="C137" i="27"/>
  <c r="D137" i="27"/>
  <c r="E137" i="27"/>
  <c r="F137" i="27"/>
  <c r="B137" i="27"/>
  <c r="C131" i="27"/>
  <c r="D131" i="27"/>
  <c r="E131" i="27"/>
  <c r="F131" i="27"/>
  <c r="B131" i="27"/>
  <c r="C48" i="28"/>
  <c r="D48" i="28"/>
  <c r="E48" i="28"/>
  <c r="F48" i="28"/>
  <c r="B48" i="28"/>
  <c r="A43" i="28"/>
  <c r="D42" i="28"/>
  <c r="D44" i="28" s="1"/>
  <c r="E42" i="28"/>
  <c r="E44" i="28" s="1"/>
  <c r="F42" i="28"/>
  <c r="F45" i="28" s="1"/>
  <c r="C42" i="28"/>
  <c r="C44" i="28" s="1"/>
  <c r="B42" i="28"/>
  <c r="B45" i="28" s="1"/>
  <c r="C32" i="28"/>
  <c r="D32" i="28"/>
  <c r="E32" i="28"/>
  <c r="F32" i="28"/>
  <c r="G30" i="28" s="1"/>
  <c r="B32" i="28"/>
  <c r="B26" i="28"/>
  <c r="B27" i="28" s="1"/>
  <c r="G37" i="28"/>
  <c r="G31" i="28"/>
  <c r="G18" i="28"/>
  <c r="E21" i="28"/>
  <c r="D21" i="28"/>
  <c r="C21" i="28"/>
  <c r="B21" i="28"/>
  <c r="G19" i="28"/>
  <c r="G20" i="28" s="1"/>
  <c r="F15" i="28"/>
  <c r="G11" i="28" s="1"/>
  <c r="G15" i="28" s="1"/>
  <c r="H11" i="28" s="1"/>
  <c r="H15" i="28" s="1"/>
  <c r="I11" i="28" s="1"/>
  <c r="I15" i="28" s="1"/>
  <c r="J11" i="28" s="1"/>
  <c r="J15" i="28" s="1"/>
  <c r="K11" i="28" s="1"/>
  <c r="K15" i="28" s="1"/>
  <c r="K55" i="4" s="1"/>
  <c r="K120" i="5" s="1"/>
  <c r="E15" i="28"/>
  <c r="D15" i="28"/>
  <c r="C15" i="28"/>
  <c r="B15" i="28"/>
  <c r="F122" i="27"/>
  <c r="C122" i="27"/>
  <c r="D122" i="27"/>
  <c r="E122" i="27"/>
  <c r="B122" i="27"/>
  <c r="C121" i="27"/>
  <c r="D121" i="27"/>
  <c r="E121" i="27"/>
  <c r="F121" i="27"/>
  <c r="B121" i="27"/>
  <c r="C101" i="27"/>
  <c r="D101" i="27"/>
  <c r="E101" i="27"/>
  <c r="F101" i="27"/>
  <c r="B101" i="27"/>
  <c r="C100" i="27"/>
  <c r="D100" i="27"/>
  <c r="E100" i="27"/>
  <c r="F100" i="27"/>
  <c r="B100" i="27"/>
  <c r="F103" i="27"/>
  <c r="C109" i="27"/>
  <c r="D109" i="27"/>
  <c r="E109" i="27"/>
  <c r="F109" i="27"/>
  <c r="B109" i="27"/>
  <c r="F91" i="27"/>
  <c r="F89" i="27"/>
  <c r="E89" i="27"/>
  <c r="D89" i="27"/>
  <c r="C89" i="27"/>
  <c r="B89" i="27"/>
  <c r="F88" i="27"/>
  <c r="E88" i="27"/>
  <c r="D88" i="27"/>
  <c r="C88" i="27"/>
  <c r="B88" i="27"/>
  <c r="C164" i="18"/>
  <c r="D164" i="18"/>
  <c r="E164" i="18"/>
  <c r="F164" i="18"/>
  <c r="B164" i="18"/>
  <c r="B190" i="18"/>
  <c r="B192" i="18" s="1"/>
  <c r="C190" i="18"/>
  <c r="C192" i="18" s="1"/>
  <c r="D190" i="18"/>
  <c r="D192" i="18" s="1"/>
  <c r="E190" i="18"/>
  <c r="E192" i="18" s="1"/>
  <c r="F182" i="18"/>
  <c r="E260" i="18"/>
  <c r="F320" i="18"/>
  <c r="F318" i="18"/>
  <c r="E320" i="18"/>
  <c r="E318" i="18"/>
  <c r="D320" i="18"/>
  <c r="D318" i="18"/>
  <c r="C320" i="18"/>
  <c r="C318" i="18"/>
  <c r="B320" i="18"/>
  <c r="B318" i="18"/>
  <c r="G184" i="18"/>
  <c r="H184" i="18" s="1"/>
  <c r="I184" i="18" s="1"/>
  <c r="C286" i="18" s="1"/>
  <c r="D286" i="18" s="1"/>
  <c r="F186" i="18"/>
  <c r="G180" i="18"/>
  <c r="E92" i="18"/>
  <c r="E91" i="18" s="1"/>
  <c r="E96" i="18"/>
  <c r="E98" i="18"/>
  <c r="E42" i="18"/>
  <c r="E41" i="18" s="1"/>
  <c r="G106" i="18"/>
  <c r="H106" i="18" s="1"/>
  <c r="I106" i="18" s="1"/>
  <c r="C120" i="18"/>
  <c r="C119" i="18" s="1"/>
  <c r="D120" i="18"/>
  <c r="D119" i="18" s="1"/>
  <c r="E120" i="18"/>
  <c r="E119" i="18" s="1"/>
  <c r="B120" i="18"/>
  <c r="B119" i="18" s="1"/>
  <c r="G81" i="18"/>
  <c r="H81" i="18" s="1"/>
  <c r="I81" i="18" s="1"/>
  <c r="C92" i="18"/>
  <c r="C91" i="18" s="1"/>
  <c r="D92" i="18"/>
  <c r="D91" i="18" s="1"/>
  <c r="B92" i="18"/>
  <c r="B91" i="18" s="1"/>
  <c r="G56" i="18"/>
  <c r="H56" i="18" s="1"/>
  <c r="I56" i="18" s="1"/>
  <c r="C67" i="18"/>
  <c r="C66" i="18" s="1"/>
  <c r="D67" i="18"/>
  <c r="D66" i="18" s="1"/>
  <c r="E67" i="18"/>
  <c r="E66" i="18" s="1"/>
  <c r="B67" i="18"/>
  <c r="B66" i="18" s="1"/>
  <c r="C42" i="18"/>
  <c r="F31" i="18"/>
  <c r="G31" i="18" s="1"/>
  <c r="H31" i="18" s="1"/>
  <c r="I31" i="18" s="1"/>
  <c r="B42" i="18"/>
  <c r="B41" i="18" s="1"/>
  <c r="F9" i="18"/>
  <c r="D17" i="18"/>
  <c r="C17" i="18"/>
  <c r="B17" i="18"/>
  <c r="T24" i="18"/>
  <c r="T25" i="18" s="1"/>
  <c r="F143" i="18"/>
  <c r="F146" i="18" s="1"/>
  <c r="F145" i="18" s="1"/>
  <c r="C146" i="18"/>
  <c r="C145" i="18" s="1"/>
  <c r="D146" i="18"/>
  <c r="D145" i="18" s="1"/>
  <c r="E146" i="18"/>
  <c r="E145" i="18" s="1"/>
  <c r="F117" i="18"/>
  <c r="F120" i="18" s="1"/>
  <c r="F89" i="18"/>
  <c r="F92" i="18" s="1"/>
  <c r="F64" i="18"/>
  <c r="F67" i="18" s="1"/>
  <c r="F39" i="18"/>
  <c r="G39" i="18" s="1"/>
  <c r="H39" i="18" s="1"/>
  <c r="I39" i="18" s="1"/>
  <c r="C41" i="18"/>
  <c r="F14" i="18"/>
  <c r="D272" i="18"/>
  <c r="D273" i="18"/>
  <c r="D279" i="18"/>
  <c r="D283" i="18"/>
  <c r="D284" i="18"/>
  <c r="D290" i="18"/>
  <c r="D294" i="18"/>
  <c r="D295" i="18"/>
  <c r="D301" i="18"/>
  <c r="D305" i="18"/>
  <c r="D311" i="18"/>
  <c r="C263" i="18"/>
  <c r="B263" i="18"/>
  <c r="E253" i="18"/>
  <c r="F253" i="18" s="1"/>
  <c r="E243" i="18"/>
  <c r="F243" i="18" s="1"/>
  <c r="E232" i="18"/>
  <c r="F232" i="18" s="1"/>
  <c r="E218" i="18"/>
  <c r="F218" i="18" s="1"/>
  <c r="E207" i="18"/>
  <c r="F207" i="18" s="1"/>
  <c r="F161" i="18"/>
  <c r="C160" i="18"/>
  <c r="C161" i="18"/>
  <c r="D161" i="18"/>
  <c r="E161" i="18"/>
  <c r="B161" i="18"/>
  <c r="B160" i="18"/>
  <c r="G21" i="28" l="1"/>
  <c r="G57" i="4" s="1"/>
  <c r="B3" i="25"/>
  <c r="C3" i="25"/>
  <c r="F3" i="25"/>
  <c r="E3" i="25"/>
  <c r="D3" i="25"/>
  <c r="D16" i="18"/>
  <c r="B16" i="18"/>
  <c r="C16" i="18"/>
  <c r="B5" i="24"/>
  <c r="C5" i="24"/>
  <c r="F138" i="27"/>
  <c r="C123" i="27"/>
  <c r="B123" i="27"/>
  <c r="F123" i="27"/>
  <c r="G121" i="27"/>
  <c r="G47" i="4" s="1"/>
  <c r="G112" i="5" s="1"/>
  <c r="E123" i="27"/>
  <c r="D123" i="27"/>
  <c r="J55" i="4"/>
  <c r="J120" i="5" s="1"/>
  <c r="D45" i="28"/>
  <c r="I55" i="4"/>
  <c r="I120" i="5" s="1"/>
  <c r="G55" i="4"/>
  <c r="G120" i="5" s="1"/>
  <c r="H55" i="4"/>
  <c r="H120" i="5" s="1"/>
  <c r="B44" i="28"/>
  <c r="C45" i="28"/>
  <c r="F44" i="28"/>
  <c r="G32" i="28"/>
  <c r="C24" i="28"/>
  <c r="H31" i="28"/>
  <c r="I31" i="28" s="1"/>
  <c r="H37" i="28"/>
  <c r="I37" i="28" s="1"/>
  <c r="H19" i="28"/>
  <c r="I19" i="28" s="1"/>
  <c r="B102" i="27"/>
  <c r="C102" i="27"/>
  <c r="F102" i="27"/>
  <c r="D102" i="27"/>
  <c r="E102" i="27"/>
  <c r="G103" i="27"/>
  <c r="E90" i="27"/>
  <c r="C90" i="27"/>
  <c r="B90" i="27"/>
  <c r="F90" i="27"/>
  <c r="D90" i="27"/>
  <c r="G109" i="27"/>
  <c r="G66" i="4" s="1"/>
  <c r="G130" i="5" s="1"/>
  <c r="G91" i="27"/>
  <c r="G182" i="18"/>
  <c r="F190" i="18"/>
  <c r="F192" i="18" s="1"/>
  <c r="C264" i="18"/>
  <c r="D264" i="18" s="1"/>
  <c r="C275" i="18"/>
  <c r="D322" i="18"/>
  <c r="D321" i="18" s="1"/>
  <c r="F322" i="18"/>
  <c r="F321" i="18" s="1"/>
  <c r="B322" i="18"/>
  <c r="E322" i="18"/>
  <c r="C322" i="18"/>
  <c r="C321" i="18" s="1"/>
  <c r="J184" i="18"/>
  <c r="C297" i="18" s="1"/>
  <c r="D297" i="18" s="1"/>
  <c r="G186" i="18"/>
  <c r="H186" i="18" s="1"/>
  <c r="I186" i="18" s="1"/>
  <c r="J106" i="18"/>
  <c r="K106" i="18" s="1"/>
  <c r="F119" i="18"/>
  <c r="G119" i="18" s="1"/>
  <c r="H119" i="18" s="1"/>
  <c r="J81" i="18"/>
  <c r="K81" i="18" s="1"/>
  <c r="F91" i="18"/>
  <c r="F42" i="18"/>
  <c r="J56" i="18"/>
  <c r="K56" i="18" s="1"/>
  <c r="F66" i="18"/>
  <c r="G66" i="18" s="1"/>
  <c r="H66" i="18" s="1"/>
  <c r="I66" i="18" s="1"/>
  <c r="J66" i="18" s="1"/>
  <c r="K66" i="18" s="1"/>
  <c r="J31" i="18"/>
  <c r="K31" i="18" s="1"/>
  <c r="G9" i="18"/>
  <c r="G145" i="18"/>
  <c r="H145" i="18" s="1"/>
  <c r="E100" i="18"/>
  <c r="G91" i="18"/>
  <c r="H91" i="18" s="1"/>
  <c r="I91" i="18" s="1"/>
  <c r="G143" i="18"/>
  <c r="H143" i="18" s="1"/>
  <c r="I143" i="18" s="1"/>
  <c r="G117" i="18"/>
  <c r="H117" i="18" s="1"/>
  <c r="I117" i="18" s="1"/>
  <c r="G89" i="18"/>
  <c r="H89" i="18" s="1"/>
  <c r="I89" i="18" s="1"/>
  <c r="J89" i="18" s="1"/>
  <c r="K89" i="18" s="1"/>
  <c r="G64" i="18"/>
  <c r="H64" i="18" s="1"/>
  <c r="I64" i="18" s="1"/>
  <c r="J39" i="18"/>
  <c r="K39" i="18" s="1"/>
  <c r="G14" i="18"/>
  <c r="H14" i="18" s="1"/>
  <c r="I14" i="18" s="1"/>
  <c r="D263" i="18"/>
  <c r="B162" i="18"/>
  <c r="C162" i="18"/>
  <c r="G352" i="18" l="1"/>
  <c r="H182" i="18"/>
  <c r="G19" i="11"/>
  <c r="G22" i="11" s="1"/>
  <c r="H121" i="27"/>
  <c r="H47" i="4" s="1"/>
  <c r="H112" i="5" s="1"/>
  <c r="G123" i="27"/>
  <c r="G122" i="27" s="1"/>
  <c r="G67" i="26" s="1"/>
  <c r="G13" i="11" s="1"/>
  <c r="H30" i="28"/>
  <c r="G58" i="4"/>
  <c r="G122" i="5" s="1"/>
  <c r="H18" i="28"/>
  <c r="H21" i="28" s="1"/>
  <c r="H57" i="4" s="1"/>
  <c r="G121" i="5"/>
  <c r="H32" i="28"/>
  <c r="J37" i="28"/>
  <c r="I20" i="28"/>
  <c r="J31" i="28"/>
  <c r="J19" i="28"/>
  <c r="K19" i="28" s="1"/>
  <c r="H20" i="28"/>
  <c r="H103" i="27"/>
  <c r="H109" i="27"/>
  <c r="I109" i="27" s="1"/>
  <c r="H91" i="27"/>
  <c r="F319" i="18"/>
  <c r="D275" i="18"/>
  <c r="D319" i="18"/>
  <c r="C319" i="18"/>
  <c r="E321" i="18"/>
  <c r="E319" i="18"/>
  <c r="F323" i="18"/>
  <c r="B321" i="18"/>
  <c r="B319" i="18"/>
  <c r="K184" i="18"/>
  <c r="C307" i="18" s="1"/>
  <c r="D307" i="18" s="1"/>
  <c r="J186" i="18"/>
  <c r="K186" i="18" s="1"/>
  <c r="H9" i="18"/>
  <c r="H160" i="18" s="1"/>
  <c r="H183" i="18" s="1"/>
  <c r="G160" i="18"/>
  <c r="I145" i="18"/>
  <c r="J145" i="18" s="1"/>
  <c r="K145" i="18" s="1"/>
  <c r="F41" i="18"/>
  <c r="I119" i="18"/>
  <c r="J119" i="18" s="1"/>
  <c r="K119" i="18" s="1"/>
  <c r="J91" i="18"/>
  <c r="K91" i="18" s="1"/>
  <c r="J143" i="18"/>
  <c r="K143" i="18" s="1"/>
  <c r="J117" i="18"/>
  <c r="K117" i="18" s="1"/>
  <c r="J64" i="18"/>
  <c r="K64" i="18" s="1"/>
  <c r="J14" i="18"/>
  <c r="K14" i="18" s="1"/>
  <c r="H121" i="5" l="1"/>
  <c r="G358" i="18"/>
  <c r="G353" i="18"/>
  <c r="G76" i="26" s="1"/>
  <c r="G356" i="18"/>
  <c r="G30" i="11" s="1"/>
  <c r="I182" i="18"/>
  <c r="H19" i="11"/>
  <c r="H22" i="11" s="1"/>
  <c r="I121" i="27"/>
  <c r="J121" i="27" s="1"/>
  <c r="H123" i="27"/>
  <c r="I123" i="27" s="1"/>
  <c r="I30" i="28"/>
  <c r="I32" i="28" s="1"/>
  <c r="H58" i="4"/>
  <c r="H122" i="5" s="1"/>
  <c r="K31" i="28"/>
  <c r="K37" i="28"/>
  <c r="K20" i="28"/>
  <c r="J20" i="28"/>
  <c r="I103" i="27"/>
  <c r="H66" i="4"/>
  <c r="H130" i="5" s="1"/>
  <c r="I66" i="4"/>
  <c r="I130" i="5" s="1"/>
  <c r="J109" i="27"/>
  <c r="I91" i="27"/>
  <c r="G321" i="18"/>
  <c r="H321" i="18" s="1"/>
  <c r="G319" i="18"/>
  <c r="H319" i="18" s="1"/>
  <c r="I319" i="18" s="1"/>
  <c r="G323" i="18"/>
  <c r="G183" i="18"/>
  <c r="G187" i="18" s="1"/>
  <c r="I9" i="18"/>
  <c r="I18" i="28" l="1"/>
  <c r="I21" i="28" s="1"/>
  <c r="I57" i="4" s="1"/>
  <c r="G360" i="18"/>
  <c r="I19" i="11"/>
  <c r="I22" i="11" s="1"/>
  <c r="J182" i="18"/>
  <c r="I47" i="4"/>
  <c r="I112" i="5" s="1"/>
  <c r="H122" i="27"/>
  <c r="H67" i="26" s="1"/>
  <c r="H13" i="11" s="1"/>
  <c r="I122" i="27"/>
  <c r="I67" i="26" s="1"/>
  <c r="I13" i="11" s="1"/>
  <c r="J123" i="27"/>
  <c r="J122" i="27" s="1"/>
  <c r="J67" i="26" s="1"/>
  <c r="J13" i="11" s="1"/>
  <c r="K121" i="27"/>
  <c r="K47" i="4" s="1"/>
  <c r="K112" i="5" s="1"/>
  <c r="J47" i="4"/>
  <c r="J112" i="5" s="1"/>
  <c r="J30" i="28"/>
  <c r="J32" i="28" s="1"/>
  <c r="I58" i="4"/>
  <c r="I122" i="5" s="1"/>
  <c r="J103" i="27"/>
  <c r="K109" i="27"/>
  <c r="K66" i="4" s="1"/>
  <c r="K130" i="5" s="1"/>
  <c r="J66" i="4"/>
  <c r="J130" i="5" s="1"/>
  <c r="J91" i="27"/>
  <c r="H180" i="18"/>
  <c r="H187" i="18" s="1"/>
  <c r="G36" i="4"/>
  <c r="G104" i="5" s="1"/>
  <c r="H323" i="18"/>
  <c r="H320" i="18" s="1"/>
  <c r="G318" i="18"/>
  <c r="J319" i="18"/>
  <c r="K319" i="18" s="1"/>
  <c r="I321" i="18"/>
  <c r="G320" i="18"/>
  <c r="C265" i="18" s="1"/>
  <c r="J9" i="18"/>
  <c r="I160" i="18"/>
  <c r="I121" i="5" l="1"/>
  <c r="H352" i="18"/>
  <c r="G367" i="18"/>
  <c r="K182" i="18"/>
  <c r="K19" i="11" s="1"/>
  <c r="K22" i="11" s="1"/>
  <c r="J19" i="11"/>
  <c r="J22" i="11" s="1"/>
  <c r="K123" i="27"/>
  <c r="K122" i="27" s="1"/>
  <c r="K67" i="26" s="1"/>
  <c r="K13" i="11" s="1"/>
  <c r="K30" i="28"/>
  <c r="K32" i="28" s="1"/>
  <c r="K58" i="4" s="1"/>
  <c r="K122" i="5" s="1"/>
  <c r="J58" i="4"/>
  <c r="J122" i="5" s="1"/>
  <c r="K103" i="27"/>
  <c r="K91" i="27"/>
  <c r="I180" i="18"/>
  <c r="H36" i="4"/>
  <c r="H104" i="5" s="1"/>
  <c r="J321" i="18"/>
  <c r="B265" i="18"/>
  <c r="G322" i="18"/>
  <c r="C276" i="18"/>
  <c r="I323" i="18"/>
  <c r="H318" i="18"/>
  <c r="B276" i="18" s="1"/>
  <c r="I183" i="18"/>
  <c r="K9" i="18"/>
  <c r="K160" i="18" s="1"/>
  <c r="K183" i="18" s="1"/>
  <c r="J160" i="18"/>
  <c r="C65" i="27"/>
  <c r="D65" i="27"/>
  <c r="E65" i="27"/>
  <c r="F65" i="27"/>
  <c r="B65" i="27"/>
  <c r="C64" i="27"/>
  <c r="D64" i="27"/>
  <c r="E64" i="27"/>
  <c r="F64" i="27"/>
  <c r="B64" i="27"/>
  <c r="C63" i="27"/>
  <c r="D63" i="27"/>
  <c r="E63" i="27"/>
  <c r="F63" i="27"/>
  <c r="B63" i="27"/>
  <c r="C62" i="27"/>
  <c r="D62" i="27"/>
  <c r="E62" i="27"/>
  <c r="F62" i="27"/>
  <c r="B62" i="27"/>
  <c r="B80" i="26"/>
  <c r="E80" i="26"/>
  <c r="F80" i="26"/>
  <c r="C80" i="26"/>
  <c r="G55" i="27"/>
  <c r="H55" i="27"/>
  <c r="I55" i="27"/>
  <c r="J55" i="27"/>
  <c r="K55" i="27"/>
  <c r="F55" i="27"/>
  <c r="E55" i="27"/>
  <c r="D55" i="27"/>
  <c r="C55" i="27"/>
  <c r="B55" i="27"/>
  <c r="C82" i="26"/>
  <c r="D78" i="26"/>
  <c r="D35" i="26" s="1"/>
  <c r="H39" i="27"/>
  <c r="H66" i="27" s="1"/>
  <c r="H74" i="26" s="1"/>
  <c r="I39" i="27"/>
  <c r="I66" i="27" s="1"/>
  <c r="I74" i="26" s="1"/>
  <c r="J39" i="27"/>
  <c r="J66" i="27" s="1"/>
  <c r="J74" i="26" s="1"/>
  <c r="K39" i="27"/>
  <c r="K66" i="27" s="1"/>
  <c r="K74" i="26" s="1"/>
  <c r="G39" i="27"/>
  <c r="G66" i="27" s="1"/>
  <c r="G74" i="26" s="1"/>
  <c r="G43" i="27"/>
  <c r="G31" i="27"/>
  <c r="G62" i="27" s="1"/>
  <c r="G72" i="26" s="1"/>
  <c r="C40" i="27"/>
  <c r="D40" i="27"/>
  <c r="E40" i="27"/>
  <c r="F40" i="27"/>
  <c r="B40" i="27"/>
  <c r="C34" i="27"/>
  <c r="D34" i="27"/>
  <c r="E34" i="27"/>
  <c r="F34" i="27"/>
  <c r="B34" i="27"/>
  <c r="C35" i="26"/>
  <c r="E35" i="26"/>
  <c r="F35" i="26"/>
  <c r="B35" i="26"/>
  <c r="C34" i="26"/>
  <c r="C36" i="26" s="1"/>
  <c r="D34" i="26"/>
  <c r="E34" i="26"/>
  <c r="F34" i="26"/>
  <c r="B34" i="26"/>
  <c r="C19" i="27"/>
  <c r="D19" i="27"/>
  <c r="E19" i="27"/>
  <c r="F19" i="27"/>
  <c r="B19" i="27"/>
  <c r="D4" i="27"/>
  <c r="D15" i="27" s="1"/>
  <c r="E4" i="27"/>
  <c r="E7" i="27" s="1"/>
  <c r="F4" i="27"/>
  <c r="F7" i="27" s="1"/>
  <c r="C4" i="27"/>
  <c r="C17" i="27" s="1"/>
  <c r="B4" i="27"/>
  <c r="B17" i="27" s="1"/>
  <c r="J18" i="28" l="1"/>
  <c r="J21" i="28" s="1"/>
  <c r="J57" i="4" s="1"/>
  <c r="G366" i="18"/>
  <c r="G64" i="4" s="1"/>
  <c r="G365" i="18"/>
  <c r="G70" i="4" s="1"/>
  <c r="H356" i="18"/>
  <c r="H30" i="11" s="1"/>
  <c r="H358" i="18"/>
  <c r="H353" i="18"/>
  <c r="H76" i="26" s="1"/>
  <c r="H43" i="27"/>
  <c r="H25" i="11" s="1"/>
  <c r="G25" i="11"/>
  <c r="B36" i="26"/>
  <c r="D80" i="26"/>
  <c r="F36" i="26"/>
  <c r="I187" i="18"/>
  <c r="D276" i="18"/>
  <c r="K321" i="18"/>
  <c r="I318" i="18"/>
  <c r="B287" i="18" s="1"/>
  <c r="J323" i="18"/>
  <c r="B267" i="18"/>
  <c r="D265" i="18"/>
  <c r="H322" i="18"/>
  <c r="I320" i="18"/>
  <c r="J183" i="18"/>
  <c r="D36" i="26"/>
  <c r="F67" i="27"/>
  <c r="E36" i="26"/>
  <c r="F17" i="27"/>
  <c r="H31" i="27"/>
  <c r="H62" i="27" s="1"/>
  <c r="H72" i="26" s="1"/>
  <c r="I43" i="27"/>
  <c r="I25" i="11" s="1"/>
  <c r="E67" i="27"/>
  <c r="E42" i="27"/>
  <c r="E48" i="27" s="1"/>
  <c r="D42" i="27"/>
  <c r="D47" i="27" s="1"/>
  <c r="F42" i="27"/>
  <c r="G42" i="27" s="1"/>
  <c r="B42" i="27"/>
  <c r="B48" i="27" s="1"/>
  <c r="C42" i="27"/>
  <c r="E15" i="27"/>
  <c r="D17" i="27"/>
  <c r="E17" i="27"/>
  <c r="E11" i="27"/>
  <c r="C11" i="27"/>
  <c r="D13" i="27"/>
  <c r="C7" i="27"/>
  <c r="D7" i="27"/>
  <c r="D11" i="27"/>
  <c r="C15" i="27"/>
  <c r="D9" i="27"/>
  <c r="F9" i="27"/>
  <c r="C13" i="27"/>
  <c r="E9" i="27"/>
  <c r="E13" i="27"/>
  <c r="B11" i="27"/>
  <c r="F11" i="27"/>
  <c r="F13" i="27"/>
  <c r="F15" i="27"/>
  <c r="C9" i="27"/>
  <c r="B13" i="27"/>
  <c r="B7" i="27"/>
  <c r="B15" i="27"/>
  <c r="B9" i="27"/>
  <c r="G13" i="27" l="1"/>
  <c r="G9" i="27"/>
  <c r="G17" i="27"/>
  <c r="H17" i="27"/>
  <c r="I17" i="27" s="1"/>
  <c r="H13" i="27"/>
  <c r="I13" i="27" s="1"/>
  <c r="J13" i="27" s="1"/>
  <c r="K13" i="27" s="1"/>
  <c r="H9" i="27"/>
  <c r="I9" i="27" s="1"/>
  <c r="G11" i="27"/>
  <c r="G15" i="27"/>
  <c r="K18" i="28"/>
  <c r="K21" i="28" s="1"/>
  <c r="K57" i="4" s="1"/>
  <c r="H360" i="18"/>
  <c r="I352" i="18" s="1"/>
  <c r="J180" i="18"/>
  <c r="J187" i="18" s="1"/>
  <c r="I36" i="4"/>
  <c r="I104" i="5" s="1"/>
  <c r="B274" i="18"/>
  <c r="B269" i="18"/>
  <c r="B271" i="18" s="1"/>
  <c r="G40" i="4" s="1"/>
  <c r="I322" i="18"/>
  <c r="C287" i="18"/>
  <c r="D287" i="18" s="1"/>
  <c r="K323" i="18"/>
  <c r="K318" i="18" s="1"/>
  <c r="B308" i="18" s="1"/>
  <c r="J318" i="18"/>
  <c r="B298" i="18" s="1"/>
  <c r="J320" i="18"/>
  <c r="F48" i="27"/>
  <c r="D48" i="27"/>
  <c r="D49" i="27" s="1"/>
  <c r="E47" i="27"/>
  <c r="H42" i="27"/>
  <c r="G40" i="27"/>
  <c r="C48" i="27"/>
  <c r="C47" i="27"/>
  <c r="F47" i="27"/>
  <c r="G34" i="27" s="1"/>
  <c r="G69" i="4" s="1"/>
  <c r="G135" i="5" s="1"/>
  <c r="B47" i="27"/>
  <c r="I31" i="27"/>
  <c r="I62" i="27" s="1"/>
  <c r="I72" i="26" s="1"/>
  <c r="J43" i="27"/>
  <c r="G7" i="27"/>
  <c r="H7" i="27" s="1"/>
  <c r="I7" i="27" s="1"/>
  <c r="J7" i="27" s="1"/>
  <c r="K7" i="27" s="1"/>
  <c r="J17" i="27" l="1"/>
  <c r="K17" i="27" s="1"/>
  <c r="H15" i="27"/>
  <c r="I15" i="27" s="1"/>
  <c r="J9" i="27"/>
  <c r="K9" i="27" s="1"/>
  <c r="H11" i="27"/>
  <c r="I11" i="27" s="1"/>
  <c r="H367" i="18"/>
  <c r="H365" i="18" s="1"/>
  <c r="H70" i="4" s="1"/>
  <c r="K121" i="5"/>
  <c r="J121" i="5"/>
  <c r="I356" i="18"/>
  <c r="I30" i="11" s="1"/>
  <c r="I358" i="18"/>
  <c r="I353" i="18"/>
  <c r="I76" i="26" s="1"/>
  <c r="K43" i="27"/>
  <c r="K25" i="11" s="1"/>
  <c r="J25" i="11"/>
  <c r="G64" i="27"/>
  <c r="G77" i="26" s="1"/>
  <c r="G63" i="4"/>
  <c r="G127" i="5" s="1"/>
  <c r="K180" i="18"/>
  <c r="K187" i="18" s="1"/>
  <c r="K36" i="4" s="1"/>
  <c r="K104" i="5" s="1"/>
  <c r="J36" i="4"/>
  <c r="J104" i="5" s="1"/>
  <c r="B278" i="18"/>
  <c r="K320" i="18"/>
  <c r="K322" i="18" s="1"/>
  <c r="J322" i="18"/>
  <c r="C298" i="18"/>
  <c r="D298" i="18" s="1"/>
  <c r="G38" i="27"/>
  <c r="J31" i="27"/>
  <c r="J62" i="27" s="1"/>
  <c r="J72" i="26" s="1"/>
  <c r="E49" i="27"/>
  <c r="B49" i="27"/>
  <c r="G32" i="27"/>
  <c r="G63" i="27" s="1"/>
  <c r="G73" i="26" s="1"/>
  <c r="F49" i="27"/>
  <c r="I42" i="27"/>
  <c r="J42" i="27" s="1"/>
  <c r="K42" i="27" s="1"/>
  <c r="C49" i="27"/>
  <c r="J15" i="27" l="1"/>
  <c r="K15" i="27" s="1"/>
  <c r="J11" i="27"/>
  <c r="K11" i="27" s="1"/>
  <c r="H366" i="18"/>
  <c r="H64" i="4" s="1"/>
  <c r="G84" i="26"/>
  <c r="I360" i="18"/>
  <c r="J352" i="18" s="1"/>
  <c r="H40" i="27"/>
  <c r="G49" i="27"/>
  <c r="C308" i="18"/>
  <c r="D308" i="18" s="1"/>
  <c r="B280" i="18"/>
  <c r="B285" i="18"/>
  <c r="K31" i="27"/>
  <c r="K62" i="27" s="1"/>
  <c r="K72" i="26" s="1"/>
  <c r="G44" i="27"/>
  <c r="G45" i="27" s="1"/>
  <c r="H34" i="27"/>
  <c r="F65" i="26"/>
  <c r="S3" i="24"/>
  <c r="F60" i="26"/>
  <c r="E60" i="26"/>
  <c r="D60" i="26"/>
  <c r="C60" i="26"/>
  <c r="B60" i="26"/>
  <c r="C22" i="26"/>
  <c r="D22" i="26"/>
  <c r="E22" i="26"/>
  <c r="F22" i="26"/>
  <c r="B22" i="26"/>
  <c r="C31" i="26"/>
  <c r="D31" i="26"/>
  <c r="E31" i="26"/>
  <c r="F31" i="26"/>
  <c r="B31" i="26"/>
  <c r="G2" i="26"/>
  <c r="H2" i="26" s="1"/>
  <c r="I2" i="26" s="1"/>
  <c r="I367" i="18" l="1"/>
  <c r="I365" i="18" s="1"/>
  <c r="I70" i="4" s="1"/>
  <c r="J353" i="18"/>
  <c r="J76" i="26" s="1"/>
  <c r="J356" i="18"/>
  <c r="J30" i="11" s="1"/>
  <c r="J358" i="18"/>
  <c r="H64" i="27"/>
  <c r="H77" i="26" s="1"/>
  <c r="I40" i="27"/>
  <c r="I63" i="4" s="1"/>
  <c r="I127" i="5" s="1"/>
  <c r="T3" i="24"/>
  <c r="H38" i="27"/>
  <c r="H63" i="4"/>
  <c r="H127" i="5" s="1"/>
  <c r="H32" i="27"/>
  <c r="H63" i="27" s="1"/>
  <c r="H73" i="26" s="1"/>
  <c r="H69" i="4"/>
  <c r="H135" i="5" s="1"/>
  <c r="I64" i="27"/>
  <c r="I77" i="26" s="1"/>
  <c r="B282" i="18"/>
  <c r="H40" i="4" s="1"/>
  <c r="B289" i="18"/>
  <c r="B291" i="18" s="1"/>
  <c r="B293" i="18" s="1"/>
  <c r="I40" i="4" s="1"/>
  <c r="J40" i="27"/>
  <c r="K40" i="27" s="1"/>
  <c r="H44" i="27"/>
  <c r="H45" i="27" s="1"/>
  <c r="G65" i="26"/>
  <c r="J2" i="26"/>
  <c r="K2" i="26" s="1"/>
  <c r="I366" i="18" l="1"/>
  <c r="I64" i="4" s="1"/>
  <c r="J360" i="18"/>
  <c r="H78" i="26"/>
  <c r="H14" i="11" s="1"/>
  <c r="H84" i="26"/>
  <c r="I38" i="27"/>
  <c r="U3" i="24"/>
  <c r="J64" i="27"/>
  <c r="J77" i="26" s="1"/>
  <c r="J63" i="4"/>
  <c r="J127" i="5" s="1"/>
  <c r="K64" i="27"/>
  <c r="K77" i="26" s="1"/>
  <c r="K63" i="4"/>
  <c r="K127" i="5" s="1"/>
  <c r="B296" i="18"/>
  <c r="B300" i="18" s="1"/>
  <c r="J38" i="27"/>
  <c r="K38" i="27"/>
  <c r="I34" i="27"/>
  <c r="H49" i="27"/>
  <c r="H65" i="26"/>
  <c r="C19" i="26"/>
  <c r="D19" i="26"/>
  <c r="E19" i="26"/>
  <c r="F19" i="26"/>
  <c r="B19" i="26"/>
  <c r="K352" i="18" l="1"/>
  <c r="J367" i="18"/>
  <c r="V3" i="24"/>
  <c r="I32" i="27"/>
  <c r="I63" i="27" s="1"/>
  <c r="I73" i="26" s="1"/>
  <c r="I69" i="4"/>
  <c r="I135" i="5" s="1"/>
  <c r="B302" i="18"/>
  <c r="B306" i="18"/>
  <c r="B310" i="18" s="1"/>
  <c r="B312" i="18" s="1"/>
  <c r="I44" i="27"/>
  <c r="I45" i="27" s="1"/>
  <c r="I65" i="26"/>
  <c r="J65" i="26" s="1"/>
  <c r="C4" i="25"/>
  <c r="D4" i="25"/>
  <c r="E4" i="25"/>
  <c r="F4" i="25"/>
  <c r="B4" i="25"/>
  <c r="C4" i="26"/>
  <c r="D4" i="26"/>
  <c r="E4" i="26"/>
  <c r="F4" i="26"/>
  <c r="B4" i="26"/>
  <c r="C28" i="26"/>
  <c r="D28" i="26"/>
  <c r="E28" i="26"/>
  <c r="F28" i="26"/>
  <c r="B28" i="26"/>
  <c r="C25" i="26"/>
  <c r="D25" i="26"/>
  <c r="E25" i="26"/>
  <c r="F25" i="26"/>
  <c r="B25" i="26"/>
  <c r="D16" i="26"/>
  <c r="D66" i="26" s="1"/>
  <c r="E16" i="26"/>
  <c r="E66" i="26" s="1"/>
  <c r="F16" i="26"/>
  <c r="F66" i="26" s="1"/>
  <c r="C16" i="26"/>
  <c r="C66" i="26" s="1"/>
  <c r="B16" i="26"/>
  <c r="B66" i="26" s="1"/>
  <c r="C334" i="18"/>
  <c r="D334" i="18"/>
  <c r="D6" i="24" s="1"/>
  <c r="E334" i="18"/>
  <c r="E6" i="24" s="1"/>
  <c r="F334" i="18"/>
  <c r="F6" i="24" s="1"/>
  <c r="B332" i="18"/>
  <c r="G4" i="26" l="1"/>
  <c r="J366" i="18"/>
  <c r="J64" i="4" s="1"/>
  <c r="J365" i="18"/>
  <c r="J70" i="4" s="1"/>
  <c r="K356" i="18"/>
  <c r="K30" i="11" s="1"/>
  <c r="K358" i="18"/>
  <c r="K353" i="18"/>
  <c r="K76" i="26" s="1"/>
  <c r="I78" i="26"/>
  <c r="I14" i="11" s="1"/>
  <c r="I84" i="26"/>
  <c r="C153" i="18"/>
  <c r="C6" i="24"/>
  <c r="W3" i="24"/>
  <c r="B314" i="18"/>
  <c r="K40" i="4" s="1"/>
  <c r="B304" i="18"/>
  <c r="J40" i="4" s="1"/>
  <c r="B334" i="18"/>
  <c r="G332" i="18"/>
  <c r="C266" i="18" s="1"/>
  <c r="C270" i="18" s="1"/>
  <c r="J34" i="27"/>
  <c r="I49" i="27"/>
  <c r="K65" i="26"/>
  <c r="F49" i="26"/>
  <c r="F51" i="26"/>
  <c r="F57" i="26"/>
  <c r="E51" i="26"/>
  <c r="E57" i="26"/>
  <c r="B47" i="26"/>
  <c r="B51" i="26"/>
  <c r="B57" i="26"/>
  <c r="D49" i="26"/>
  <c r="D57" i="26"/>
  <c r="D51" i="26"/>
  <c r="C47" i="26"/>
  <c r="C51" i="26"/>
  <c r="C57" i="26"/>
  <c r="E47" i="26"/>
  <c r="E49" i="26"/>
  <c r="D45" i="26"/>
  <c r="D47" i="26"/>
  <c r="F45" i="26"/>
  <c r="F47" i="26"/>
  <c r="C23" i="26"/>
  <c r="C45" i="26"/>
  <c r="E23" i="26"/>
  <c r="E45" i="26"/>
  <c r="B23" i="26"/>
  <c r="B45" i="26"/>
  <c r="D32" i="26"/>
  <c r="D23" i="26"/>
  <c r="F32" i="26"/>
  <c r="F23" i="26"/>
  <c r="C17" i="26"/>
  <c r="C32" i="26"/>
  <c r="E17" i="26"/>
  <c r="E32" i="26"/>
  <c r="F20" i="26"/>
  <c r="F17" i="26"/>
  <c r="D20" i="26"/>
  <c r="D17" i="26"/>
  <c r="C20" i="26"/>
  <c r="E20" i="26"/>
  <c r="B20" i="26"/>
  <c r="F29" i="26"/>
  <c r="D26" i="26"/>
  <c r="B26" i="26"/>
  <c r="D29" i="26"/>
  <c r="F26" i="26"/>
  <c r="E26" i="26"/>
  <c r="B29" i="26"/>
  <c r="C29" i="26"/>
  <c r="C26" i="26"/>
  <c r="E29" i="26"/>
  <c r="B23" i="18"/>
  <c r="C23" i="18"/>
  <c r="D23" i="18"/>
  <c r="E23" i="18"/>
  <c r="F23" i="18"/>
  <c r="B48" i="18"/>
  <c r="B50" i="18" s="1"/>
  <c r="C48" i="18"/>
  <c r="C50" i="18" s="1"/>
  <c r="D48" i="18"/>
  <c r="E48" i="18"/>
  <c r="E50" i="18" s="1"/>
  <c r="F48" i="18"/>
  <c r="F50" i="18" s="1"/>
  <c r="B73" i="18"/>
  <c r="B75" i="18" s="1"/>
  <c r="C73" i="18"/>
  <c r="C75" i="18" s="1"/>
  <c r="D73" i="18"/>
  <c r="D75" i="18" s="1"/>
  <c r="E73" i="18"/>
  <c r="E75" i="18" s="1"/>
  <c r="F73" i="18"/>
  <c r="F75" i="18" s="1"/>
  <c r="B98" i="18"/>
  <c r="B100" i="18" s="1"/>
  <c r="C98" i="18"/>
  <c r="C100" i="18" s="1"/>
  <c r="D98" i="18"/>
  <c r="D100" i="18" s="1"/>
  <c r="F98" i="18"/>
  <c r="F100" i="18" s="1"/>
  <c r="B126" i="18"/>
  <c r="B128" i="18" s="1"/>
  <c r="C126" i="18"/>
  <c r="C128" i="18" s="1"/>
  <c r="D126" i="18"/>
  <c r="D128" i="18" s="1"/>
  <c r="E126" i="18"/>
  <c r="E128" i="18" s="1"/>
  <c r="F126" i="18"/>
  <c r="F128" i="18" s="1"/>
  <c r="B155" i="18"/>
  <c r="B156" i="18" s="1"/>
  <c r="C155" i="18"/>
  <c r="C156" i="18" s="1"/>
  <c r="D155" i="18"/>
  <c r="D156" i="18" s="1"/>
  <c r="E155" i="18"/>
  <c r="E156" i="18" s="1"/>
  <c r="F155" i="18"/>
  <c r="F156" i="18" s="1"/>
  <c r="F150" i="18"/>
  <c r="D150" i="18"/>
  <c r="E150" i="18"/>
  <c r="C150" i="18"/>
  <c r="B150" i="18"/>
  <c r="E124" i="18"/>
  <c r="F124" i="18"/>
  <c r="D124" i="18"/>
  <c r="C124" i="18"/>
  <c r="B124" i="18"/>
  <c r="D96" i="18"/>
  <c r="F96" i="18"/>
  <c r="C96" i="18"/>
  <c r="F71" i="18"/>
  <c r="C71" i="18"/>
  <c r="D40" i="18"/>
  <c r="D152" i="18" s="1"/>
  <c r="D5" i="24" s="1"/>
  <c r="D34" i="18"/>
  <c r="D33" i="18"/>
  <c r="D160" i="18"/>
  <c r="D162" i="18" s="1"/>
  <c r="D29" i="18"/>
  <c r="D46" i="18"/>
  <c r="F20" i="18"/>
  <c r="F19" i="18"/>
  <c r="F15" i="18"/>
  <c r="F152" i="18" s="1"/>
  <c r="F5" i="24" s="1"/>
  <c r="F8" i="18"/>
  <c r="F7" i="18"/>
  <c r="E20" i="18"/>
  <c r="E19" i="18"/>
  <c r="E15" i="18"/>
  <c r="E152" i="18" s="1"/>
  <c r="E5" i="24" s="1"/>
  <c r="E8" i="18"/>
  <c r="E7" i="18"/>
  <c r="D21" i="18"/>
  <c r="C21" i="18"/>
  <c r="B21" i="18"/>
  <c r="F42" i="11"/>
  <c r="E42" i="11"/>
  <c r="E22" i="11"/>
  <c r="E17" i="11"/>
  <c r="C42" i="11"/>
  <c r="D42" i="11"/>
  <c r="B42" i="11"/>
  <c r="B43" i="11" s="1"/>
  <c r="D31" i="11"/>
  <c r="D22" i="11"/>
  <c r="D17" i="11"/>
  <c r="B37" i="11"/>
  <c r="C33" i="11"/>
  <c r="C34" i="11" s="1"/>
  <c r="D33" i="11" s="1"/>
  <c r="D34" i="11" s="1"/>
  <c r="C31" i="11"/>
  <c r="C22" i="11"/>
  <c r="C17" i="11"/>
  <c r="C3" i="9"/>
  <c r="C5" i="9" s="1"/>
  <c r="C6" i="9" s="1"/>
  <c r="G20" i="26" l="1"/>
  <c r="K360" i="18"/>
  <c r="K367" i="18" s="1"/>
  <c r="K365" i="18" s="1"/>
  <c r="K70" i="4" s="1"/>
  <c r="F153" i="18"/>
  <c r="D153" i="18"/>
  <c r="B153" i="18"/>
  <c r="B6" i="24"/>
  <c r="D157" i="18"/>
  <c r="J32" i="27"/>
  <c r="J63" i="27" s="1"/>
  <c r="J73" i="26" s="1"/>
  <c r="J69" i="4"/>
  <c r="J135" i="5" s="1"/>
  <c r="D270" i="18"/>
  <c r="C281" i="18"/>
  <c r="D266" i="18"/>
  <c r="D267" i="18" s="1"/>
  <c r="C267" i="18"/>
  <c r="C271" i="18" s="1"/>
  <c r="G334" i="18"/>
  <c r="G6" i="24" s="1"/>
  <c r="H332" i="18"/>
  <c r="C277" i="18" s="1"/>
  <c r="D277" i="18" s="1"/>
  <c r="D42" i="18"/>
  <c r="E17" i="18"/>
  <c r="F17" i="18"/>
  <c r="D24" i="18"/>
  <c r="D25" i="18"/>
  <c r="C24" i="18"/>
  <c r="C25" i="18"/>
  <c r="B24" i="18"/>
  <c r="B25" i="18"/>
  <c r="E160" i="18"/>
  <c r="E162" i="18" s="1"/>
  <c r="E153" i="18"/>
  <c r="F160" i="18"/>
  <c r="F162" i="18" s="1"/>
  <c r="B127" i="18"/>
  <c r="D127" i="18"/>
  <c r="D49" i="18"/>
  <c r="J44" i="27"/>
  <c r="J45" i="27" s="1"/>
  <c r="G49" i="26"/>
  <c r="H49" i="26" s="1"/>
  <c r="G16" i="26"/>
  <c r="G66" i="26" s="1"/>
  <c r="H4" i="26"/>
  <c r="G57" i="26"/>
  <c r="G51" i="26"/>
  <c r="G47" i="26"/>
  <c r="H47" i="26" s="1"/>
  <c r="I47" i="26" s="1"/>
  <c r="J47" i="26" s="1"/>
  <c r="K47" i="26" s="1"/>
  <c r="G45" i="26"/>
  <c r="G23" i="26"/>
  <c r="G26" i="26"/>
  <c r="G29" i="26"/>
  <c r="G32" i="26"/>
  <c r="F74" i="18"/>
  <c r="C74" i="18"/>
  <c r="F99" i="18"/>
  <c r="B157" i="18"/>
  <c r="F157" i="18"/>
  <c r="D99" i="18"/>
  <c r="C157" i="18"/>
  <c r="F127" i="18"/>
  <c r="C99" i="18"/>
  <c r="C127" i="18"/>
  <c r="E99" i="18"/>
  <c r="E127" i="18"/>
  <c r="E157" i="18"/>
  <c r="G134" i="18"/>
  <c r="G144" i="18" s="1"/>
  <c r="G104" i="18"/>
  <c r="G79" i="18"/>
  <c r="B96" i="18"/>
  <c r="B99" i="18" s="1"/>
  <c r="G54" i="18"/>
  <c r="E71" i="18"/>
  <c r="E74" i="18" s="1"/>
  <c r="D71" i="18"/>
  <c r="D74" i="18" s="1"/>
  <c r="B71" i="18"/>
  <c r="B74" i="18" s="1"/>
  <c r="F46" i="18"/>
  <c r="F49" i="18" s="1"/>
  <c r="G29" i="18"/>
  <c r="E46" i="18"/>
  <c r="E49" i="18" s="1"/>
  <c r="C46" i="18"/>
  <c r="C49" i="18" s="1"/>
  <c r="B46" i="18"/>
  <c r="B49" i="18" s="1"/>
  <c r="E21" i="18"/>
  <c r="E24" i="18" s="1"/>
  <c r="F21" i="18"/>
  <c r="F24" i="18" s="1"/>
  <c r="D43" i="11"/>
  <c r="F31" i="11"/>
  <c r="F22" i="11"/>
  <c r="F17" i="11"/>
  <c r="E33" i="11"/>
  <c r="E34" i="11" s="1"/>
  <c r="C37" i="11"/>
  <c r="D37" i="11"/>
  <c r="E31" i="11"/>
  <c r="C43" i="11"/>
  <c r="E122" i="4"/>
  <c r="F122" i="4"/>
  <c r="H29" i="26" l="1"/>
  <c r="H20" i="26"/>
  <c r="I20" i="26"/>
  <c r="H16" i="26"/>
  <c r="H66" i="26" s="1"/>
  <c r="K366" i="18"/>
  <c r="K64" i="4" s="1"/>
  <c r="J78" i="26"/>
  <c r="J14" i="11" s="1"/>
  <c r="J84" i="26"/>
  <c r="G149" i="18"/>
  <c r="C163" i="18"/>
  <c r="C165" i="18" s="1"/>
  <c r="D163" i="18"/>
  <c r="D165" i="18" s="1"/>
  <c r="E163" i="18"/>
  <c r="E165" i="18" s="1"/>
  <c r="F163" i="18"/>
  <c r="F165" i="18" s="1"/>
  <c r="B163" i="18"/>
  <c r="B165" i="18" s="1"/>
  <c r="C269" i="18"/>
  <c r="F271" i="18" s="1"/>
  <c r="G34" i="4"/>
  <c r="G103" i="5" s="1"/>
  <c r="C292" i="18"/>
  <c r="D281" i="18"/>
  <c r="C274" i="18"/>
  <c r="I332" i="18"/>
  <c r="C288" i="18" s="1"/>
  <c r="D288" i="18" s="1"/>
  <c r="H334" i="18"/>
  <c r="H6" i="24" s="1"/>
  <c r="G118" i="18"/>
  <c r="G123" i="18" s="1"/>
  <c r="G90" i="18"/>
  <c r="G95" i="18" s="1"/>
  <c r="G65" i="18"/>
  <c r="G70" i="18" s="1"/>
  <c r="F16" i="18"/>
  <c r="F25" i="18"/>
  <c r="E16" i="18"/>
  <c r="E25" i="18"/>
  <c r="D41" i="18"/>
  <c r="G41" i="18" s="1"/>
  <c r="H41" i="18" s="1"/>
  <c r="I41" i="18" s="1"/>
  <c r="D50" i="18"/>
  <c r="G7" i="18"/>
  <c r="K34" i="27"/>
  <c r="J49" i="27"/>
  <c r="G5" i="4"/>
  <c r="G82" i="5" s="1"/>
  <c r="G64" i="26"/>
  <c r="G78" i="26"/>
  <c r="G14" i="11" s="1"/>
  <c r="G50" i="26"/>
  <c r="G56" i="26"/>
  <c r="I4" i="26"/>
  <c r="G17" i="26"/>
  <c r="G25" i="26"/>
  <c r="G9" i="4" s="1"/>
  <c r="G48" i="26"/>
  <c r="H51" i="26"/>
  <c r="I51" i="26" s="1"/>
  <c r="G46" i="26"/>
  <c r="H57" i="26"/>
  <c r="I57" i="26" s="1"/>
  <c r="I49" i="26"/>
  <c r="G44" i="26"/>
  <c r="H45" i="26"/>
  <c r="I45" i="26" s="1"/>
  <c r="G22" i="26"/>
  <c r="G8" i="4" s="1"/>
  <c r="H23" i="26"/>
  <c r="H26" i="26"/>
  <c r="I29" i="26"/>
  <c r="H32" i="26"/>
  <c r="G19" i="26"/>
  <c r="G28" i="26"/>
  <c r="G10" i="4" s="1"/>
  <c r="G87" i="5" s="1"/>
  <c r="E43" i="11"/>
  <c r="F33" i="11"/>
  <c r="F34" i="11" s="1"/>
  <c r="F37" i="11"/>
  <c r="E37" i="11"/>
  <c r="M76" i="4"/>
  <c r="J29" i="26" l="1"/>
  <c r="I26" i="26"/>
  <c r="J26" i="26" s="1"/>
  <c r="I23" i="26"/>
  <c r="J23" i="26" s="1"/>
  <c r="I32" i="26"/>
  <c r="J20" i="26"/>
  <c r="G11" i="5"/>
  <c r="G85" i="5"/>
  <c r="G12" i="5"/>
  <c r="G86" i="5"/>
  <c r="G13" i="5"/>
  <c r="G88" i="27"/>
  <c r="G89" i="27" s="1"/>
  <c r="G44" i="4" s="1"/>
  <c r="G16" i="11"/>
  <c r="G8" i="5"/>
  <c r="F43" i="11"/>
  <c r="G33" i="11"/>
  <c r="K32" i="27"/>
  <c r="K63" i="27" s="1"/>
  <c r="K73" i="26" s="1"/>
  <c r="K69" i="4"/>
  <c r="K135" i="5" s="1"/>
  <c r="D274" i="18"/>
  <c r="C278" i="18"/>
  <c r="C285" i="18" s="1"/>
  <c r="D292" i="18"/>
  <c r="D269" i="18"/>
  <c r="E271" i="18" s="1"/>
  <c r="D271" i="18"/>
  <c r="I334" i="18"/>
  <c r="I6" i="24" s="1"/>
  <c r="J332" i="18"/>
  <c r="C299" i="18" s="1"/>
  <c r="D299" i="18" s="1"/>
  <c r="G92" i="18"/>
  <c r="G120" i="18"/>
  <c r="G67" i="18"/>
  <c r="G40" i="18"/>
  <c r="G45" i="18" s="1"/>
  <c r="G16" i="18"/>
  <c r="H16" i="18" s="1"/>
  <c r="I16" i="18" s="1"/>
  <c r="J41" i="18"/>
  <c r="K41" i="18" s="1"/>
  <c r="K49" i="27"/>
  <c r="K44" i="27"/>
  <c r="K45" i="27" s="1"/>
  <c r="G35" i="26"/>
  <c r="G14" i="4" s="1"/>
  <c r="G91" i="5" s="1"/>
  <c r="G68" i="26"/>
  <c r="H46" i="26"/>
  <c r="H64" i="26"/>
  <c r="H28" i="26"/>
  <c r="H10" i="4" s="1"/>
  <c r="H87" i="5" s="1"/>
  <c r="H5" i="4"/>
  <c r="H82" i="5" s="1"/>
  <c r="H19" i="26"/>
  <c r="H6" i="4" s="1"/>
  <c r="H83" i="5" s="1"/>
  <c r="H17" i="26"/>
  <c r="H48" i="26"/>
  <c r="H50" i="26"/>
  <c r="J51" i="26"/>
  <c r="K51" i="26" s="1"/>
  <c r="H56" i="26"/>
  <c r="I16" i="26"/>
  <c r="I66" i="26" s="1"/>
  <c r="J4" i="26"/>
  <c r="J57" i="26"/>
  <c r="K57" i="26" s="1"/>
  <c r="J49" i="26"/>
  <c r="H44" i="26"/>
  <c r="J45" i="26"/>
  <c r="K45" i="26" s="1"/>
  <c r="H25" i="26"/>
  <c r="H9" i="4" s="1"/>
  <c r="H22" i="26"/>
  <c r="H8" i="4" s="1"/>
  <c r="G31" i="26"/>
  <c r="G11" i="4" s="1"/>
  <c r="G14" i="5" s="1"/>
  <c r="G6" i="4"/>
  <c r="G83" i="5" s="1"/>
  <c r="M72" i="4"/>
  <c r="M73" i="4" s="1"/>
  <c r="M71" i="4"/>
  <c r="C138" i="5"/>
  <c r="D138" i="5"/>
  <c r="E138" i="5"/>
  <c r="F138" i="5"/>
  <c r="B138" i="5"/>
  <c r="D137" i="5"/>
  <c r="E137" i="5"/>
  <c r="F137" i="5"/>
  <c r="B137" i="5"/>
  <c r="C127" i="5"/>
  <c r="D127" i="5"/>
  <c r="E127" i="5"/>
  <c r="F127" i="5"/>
  <c r="B127" i="5"/>
  <c r="C123" i="5"/>
  <c r="D123" i="5"/>
  <c r="E123" i="5"/>
  <c r="F123" i="5"/>
  <c r="C122" i="5"/>
  <c r="D122" i="5"/>
  <c r="E122" i="5"/>
  <c r="F122" i="5"/>
  <c r="C121" i="5"/>
  <c r="D121" i="5"/>
  <c r="E121" i="5"/>
  <c r="F121" i="5"/>
  <c r="C106" i="5"/>
  <c r="D106" i="5"/>
  <c r="E106" i="5"/>
  <c r="F106" i="5"/>
  <c r="B106" i="5"/>
  <c r="D7" i="4"/>
  <c r="D12" i="4" s="1"/>
  <c r="D3" i="24" s="1"/>
  <c r="D10" i="24" s="1"/>
  <c r="E7" i="4"/>
  <c r="E12" i="4" s="1"/>
  <c r="E3" i="24" s="1"/>
  <c r="E10" i="24" s="1"/>
  <c r="F7" i="4"/>
  <c r="C15" i="4"/>
  <c r="D15" i="4"/>
  <c r="E15" i="4"/>
  <c r="F15" i="4"/>
  <c r="B15" i="4"/>
  <c r="C7" i="4"/>
  <c r="C12" i="4" s="1"/>
  <c r="C3" i="24" s="1"/>
  <c r="C10" i="24" s="1"/>
  <c r="B7" i="4"/>
  <c r="R36" i="4"/>
  <c r="S36" i="4"/>
  <c r="C49" i="4"/>
  <c r="D49" i="4"/>
  <c r="E49" i="4"/>
  <c r="F49" i="4"/>
  <c r="C60" i="4"/>
  <c r="D60" i="4"/>
  <c r="E60" i="4"/>
  <c r="F60" i="4"/>
  <c r="B65" i="24" s="1"/>
  <c r="C67" i="4"/>
  <c r="D67" i="4"/>
  <c r="E67" i="4"/>
  <c r="F67" i="4"/>
  <c r="B73" i="4"/>
  <c r="B131" i="5" s="1"/>
  <c r="C73" i="4"/>
  <c r="D73" i="4"/>
  <c r="E73" i="4"/>
  <c r="F73" i="4"/>
  <c r="F131" i="5" s="1"/>
  <c r="J32" i="26" l="1"/>
  <c r="K26" i="26"/>
  <c r="K32" i="26"/>
  <c r="K23" i="26"/>
  <c r="K29" i="26"/>
  <c r="K20" i="26"/>
  <c r="H12" i="5"/>
  <c r="H86" i="5"/>
  <c r="H32" i="24"/>
  <c r="G111" i="5"/>
  <c r="C64" i="24"/>
  <c r="C63" i="24"/>
  <c r="G80" i="26"/>
  <c r="G79" i="26"/>
  <c r="G15" i="4" s="1"/>
  <c r="F12" i="4"/>
  <c r="F3" i="24" s="1"/>
  <c r="F10" i="24" s="1"/>
  <c r="F84" i="5"/>
  <c r="H11" i="5"/>
  <c r="H85" i="5"/>
  <c r="H88" i="27"/>
  <c r="H89" i="27" s="1"/>
  <c r="H44" i="4" s="1"/>
  <c r="H111" i="5" s="1"/>
  <c r="H16" i="11"/>
  <c r="H8" i="5"/>
  <c r="G116" i="4"/>
  <c r="H13" i="5"/>
  <c r="G17" i="5"/>
  <c r="H9" i="5"/>
  <c r="G100" i="27"/>
  <c r="G101" i="27" s="1"/>
  <c r="G72" i="4" s="1"/>
  <c r="G9" i="5"/>
  <c r="K78" i="26"/>
  <c r="K14" i="11" s="1"/>
  <c r="K84" i="26"/>
  <c r="E134" i="4"/>
  <c r="E52" i="28"/>
  <c r="F134" i="4"/>
  <c r="F52" i="28"/>
  <c r="D134" i="4"/>
  <c r="D52" i="28"/>
  <c r="C134" i="4"/>
  <c r="C52" i="28"/>
  <c r="H4" i="27"/>
  <c r="H100" i="27"/>
  <c r="H101" i="27" s="1"/>
  <c r="H72" i="4" s="1"/>
  <c r="H138" i="5" s="1"/>
  <c r="C303" i="18"/>
  <c r="D303" i="18" s="1"/>
  <c r="C282" i="18"/>
  <c r="H34" i="4" s="1"/>
  <c r="H103" i="5" s="1"/>
  <c r="D278" i="18"/>
  <c r="D285" i="18"/>
  <c r="C289" i="18"/>
  <c r="C293" i="18" s="1"/>
  <c r="I34" i="4" s="1"/>
  <c r="I103" i="5" s="1"/>
  <c r="J334" i="18"/>
  <c r="J6" i="24" s="1"/>
  <c r="K332" i="18"/>
  <c r="C309" i="18" s="1"/>
  <c r="H104" i="18"/>
  <c r="G124" i="18"/>
  <c r="H79" i="18"/>
  <c r="G96" i="18"/>
  <c r="G71" i="18"/>
  <c r="H54" i="18"/>
  <c r="G42" i="18"/>
  <c r="G46" i="18" s="1"/>
  <c r="G15" i="18"/>
  <c r="G20" i="18" s="1"/>
  <c r="J16" i="18"/>
  <c r="K16" i="18" s="1"/>
  <c r="H35" i="26"/>
  <c r="H14" i="4" s="1"/>
  <c r="H91" i="5" s="1"/>
  <c r="G34" i="26"/>
  <c r="G7" i="4"/>
  <c r="G4" i="27"/>
  <c r="H68" i="26"/>
  <c r="H80" i="26" s="1"/>
  <c r="I56" i="26"/>
  <c r="I64" i="26"/>
  <c r="H31" i="26"/>
  <c r="H11" i="4" s="1"/>
  <c r="H14" i="5" s="1"/>
  <c r="H7" i="4"/>
  <c r="H84" i="5" s="1"/>
  <c r="I17" i="26"/>
  <c r="I48" i="26"/>
  <c r="I19" i="26"/>
  <c r="I31" i="26" s="1"/>
  <c r="I11" i="4" s="1"/>
  <c r="I22" i="26"/>
  <c r="I8" i="4" s="1"/>
  <c r="I85" i="5" s="1"/>
  <c r="I44" i="26"/>
  <c r="I50" i="26"/>
  <c r="I5" i="4"/>
  <c r="I82" i="5" s="1"/>
  <c r="I25" i="26"/>
  <c r="I9" i="4" s="1"/>
  <c r="I86" i="5" s="1"/>
  <c r="I28" i="26"/>
  <c r="I10" i="4" s="1"/>
  <c r="I87" i="5" s="1"/>
  <c r="K4" i="26"/>
  <c r="K16" i="26" s="1"/>
  <c r="K66" i="26" s="1"/>
  <c r="J16" i="26"/>
  <c r="J66" i="26" s="1"/>
  <c r="I46" i="26"/>
  <c r="K49" i="26"/>
  <c r="C131" i="5"/>
  <c r="E131" i="5"/>
  <c r="D131" i="5"/>
  <c r="C16" i="4"/>
  <c r="E16" i="4"/>
  <c r="D16" i="4"/>
  <c r="E76" i="4"/>
  <c r="D75" i="4"/>
  <c r="D76" i="4" s="1"/>
  <c r="C75" i="4"/>
  <c r="C76" i="4" s="1"/>
  <c r="F75" i="4"/>
  <c r="F76" i="4" s="1"/>
  <c r="F20" i="5"/>
  <c r="E20" i="5"/>
  <c r="D20" i="5"/>
  <c r="C20" i="5"/>
  <c r="B20" i="5"/>
  <c r="F18" i="5"/>
  <c r="E18" i="5"/>
  <c r="D18" i="5"/>
  <c r="C18" i="5"/>
  <c r="B18" i="5"/>
  <c r="F17" i="5"/>
  <c r="E17" i="5"/>
  <c r="D17" i="5"/>
  <c r="C17" i="5"/>
  <c r="B17" i="5"/>
  <c r="F16" i="5"/>
  <c r="E16" i="5"/>
  <c r="D16" i="5"/>
  <c r="C16" i="5"/>
  <c r="B16" i="5"/>
  <c r="E15" i="5"/>
  <c r="D15" i="5"/>
  <c r="C15" i="5"/>
  <c r="F14" i="5"/>
  <c r="E14" i="5"/>
  <c r="D14" i="5"/>
  <c r="C14" i="5"/>
  <c r="F13" i="5"/>
  <c r="E13" i="5"/>
  <c r="D13" i="5"/>
  <c r="C13" i="5"/>
  <c r="B13" i="5"/>
  <c r="F12" i="5"/>
  <c r="E12" i="5"/>
  <c r="D12" i="5"/>
  <c r="C12" i="5"/>
  <c r="B12" i="5"/>
  <c r="F11" i="5"/>
  <c r="E11" i="5"/>
  <c r="D11" i="5"/>
  <c r="C11" i="5"/>
  <c r="B11" i="5"/>
  <c r="F10" i="5"/>
  <c r="E10" i="5"/>
  <c r="D10" i="5"/>
  <c r="C10" i="5"/>
  <c r="B10" i="5"/>
  <c r="F9" i="5"/>
  <c r="E9" i="5"/>
  <c r="D9" i="5"/>
  <c r="C9" i="5"/>
  <c r="B9" i="5"/>
  <c r="F8" i="5"/>
  <c r="E8" i="5"/>
  <c r="D8" i="5"/>
  <c r="C8" i="5"/>
  <c r="B8" i="5"/>
  <c r="C7" i="6"/>
  <c r="D7" i="6"/>
  <c r="E7" i="6"/>
  <c r="B67" i="24" l="1"/>
  <c r="F15" i="5"/>
  <c r="Q18" i="5" s="1"/>
  <c r="I32" i="24"/>
  <c r="H12" i="27"/>
  <c r="H6" i="27"/>
  <c r="H14" i="27"/>
  <c r="H16" i="27"/>
  <c r="H8" i="27"/>
  <c r="H10" i="27"/>
  <c r="G14" i="27"/>
  <c r="G16" i="27"/>
  <c r="G6" i="27"/>
  <c r="G8" i="27"/>
  <c r="G12" i="27"/>
  <c r="G10" i="27"/>
  <c r="F7" i="6"/>
  <c r="F16" i="4"/>
  <c r="F19" i="5" s="1"/>
  <c r="G10" i="5"/>
  <c r="G84" i="5"/>
  <c r="H36" i="24"/>
  <c r="G138" i="5"/>
  <c r="G18" i="5"/>
  <c r="G92" i="5"/>
  <c r="G122" i="4"/>
  <c r="I14" i="5"/>
  <c r="H17" i="5"/>
  <c r="I13" i="5"/>
  <c r="I88" i="27"/>
  <c r="I89" i="27" s="1"/>
  <c r="I44" i="4" s="1"/>
  <c r="I111" i="5" s="1"/>
  <c r="I16" i="11"/>
  <c r="I8" i="5"/>
  <c r="I12" i="5"/>
  <c r="I11" i="5"/>
  <c r="H85" i="4"/>
  <c r="H10" i="5"/>
  <c r="H116" i="4"/>
  <c r="G152" i="18"/>
  <c r="G5" i="24" s="1"/>
  <c r="I36" i="24"/>
  <c r="H122" i="4"/>
  <c r="E18" i="4"/>
  <c r="AM6" i="29" s="1"/>
  <c r="E139" i="27"/>
  <c r="E140" i="27" s="1"/>
  <c r="E132" i="27"/>
  <c r="E133" i="27" s="1"/>
  <c r="E42" i="26"/>
  <c r="C18" i="4"/>
  <c r="C132" i="27"/>
  <c r="C133" i="27" s="1"/>
  <c r="C139" i="27"/>
  <c r="C42" i="26"/>
  <c r="D18" i="4"/>
  <c r="AC6" i="29" s="1"/>
  <c r="D132" i="27"/>
  <c r="D133" i="27" s="1"/>
  <c r="D139" i="27"/>
  <c r="D140" i="27" s="1"/>
  <c r="D42" i="26"/>
  <c r="G12" i="4"/>
  <c r="G7" i="6" s="1"/>
  <c r="G85" i="4"/>
  <c r="C313" i="18"/>
  <c r="D313" i="18" s="1"/>
  <c r="D309" i="18"/>
  <c r="C280" i="18"/>
  <c r="D282" i="18"/>
  <c r="C291" i="18"/>
  <c r="D291" i="18" s="1"/>
  <c r="D293" i="18"/>
  <c r="K334" i="18"/>
  <c r="K6" i="24" s="1"/>
  <c r="C296" i="18"/>
  <c r="D289" i="18"/>
  <c r="G44" i="18"/>
  <c r="G48" i="18"/>
  <c r="G49" i="18" s="1"/>
  <c r="H29" i="18"/>
  <c r="H40" i="18" s="1"/>
  <c r="H45" i="18" s="1"/>
  <c r="G69" i="18"/>
  <c r="G73" i="18"/>
  <c r="G122" i="18"/>
  <c r="G126" i="18"/>
  <c r="G94" i="18"/>
  <c r="G98" i="18"/>
  <c r="H90" i="18"/>
  <c r="H95" i="18" s="1"/>
  <c r="H118" i="18"/>
  <c r="H123" i="18" s="1"/>
  <c r="H65" i="18"/>
  <c r="H70" i="18" s="1"/>
  <c r="H12" i="4"/>
  <c r="H7" i="6" s="1"/>
  <c r="H34" i="26"/>
  <c r="H79" i="26"/>
  <c r="H15" i="4" s="1"/>
  <c r="I68" i="26"/>
  <c r="I80" i="26" s="1"/>
  <c r="I35" i="26"/>
  <c r="I14" i="4" s="1"/>
  <c r="I91" i="5" s="1"/>
  <c r="G36" i="26"/>
  <c r="G13" i="4"/>
  <c r="G90" i="5" s="1"/>
  <c r="J5" i="4"/>
  <c r="J82" i="5" s="1"/>
  <c r="K56" i="26"/>
  <c r="J56" i="26"/>
  <c r="J64" i="26"/>
  <c r="K64" i="26"/>
  <c r="J19" i="26"/>
  <c r="J6" i="4" s="1"/>
  <c r="J83" i="5" s="1"/>
  <c r="J46" i="26"/>
  <c r="J25" i="26"/>
  <c r="J9" i="4" s="1"/>
  <c r="J86" i="5" s="1"/>
  <c r="J17" i="26"/>
  <c r="I6" i="4"/>
  <c r="I83" i="5" s="1"/>
  <c r="J28" i="26"/>
  <c r="J10" i="4" s="1"/>
  <c r="J87" i="5" s="1"/>
  <c r="J22" i="26"/>
  <c r="J8" i="4" s="1"/>
  <c r="J85" i="5" s="1"/>
  <c r="J44" i="26"/>
  <c r="J50" i="26"/>
  <c r="J48" i="26"/>
  <c r="K50" i="26"/>
  <c r="K48" i="26"/>
  <c r="K17" i="26"/>
  <c r="K46" i="26"/>
  <c r="K19" i="26"/>
  <c r="K6" i="4" s="1"/>
  <c r="K83" i="5" s="1"/>
  <c r="K44" i="26"/>
  <c r="K5" i="4"/>
  <c r="K82" i="5" s="1"/>
  <c r="K22" i="26"/>
  <c r="K8" i="4" s="1"/>
  <c r="K28" i="26"/>
  <c r="K10" i="4" s="1"/>
  <c r="K87" i="5" s="1"/>
  <c r="K25" i="26"/>
  <c r="K9" i="4" s="1"/>
  <c r="K86" i="5" s="1"/>
  <c r="C19" i="5"/>
  <c r="O9" i="5"/>
  <c r="O10" i="5" s="1"/>
  <c r="D19" i="5"/>
  <c r="O22" i="5" s="1"/>
  <c r="M9" i="5"/>
  <c r="M10" i="5" s="1"/>
  <c r="Q9" i="5"/>
  <c r="Q10" i="5" s="1"/>
  <c r="E6" i="6"/>
  <c r="M26" i="5"/>
  <c r="P9" i="5"/>
  <c r="P10" i="5" s="1"/>
  <c r="Q14" i="5"/>
  <c r="N14" i="5"/>
  <c r="N15" i="5" s="1"/>
  <c r="O18" i="5"/>
  <c r="M14" i="5"/>
  <c r="N18" i="5"/>
  <c r="N22" i="5"/>
  <c r="O14" i="5"/>
  <c r="O15" i="5" s="1"/>
  <c r="P18" i="5"/>
  <c r="N9" i="5"/>
  <c r="N10" i="5" s="1"/>
  <c r="P14" i="5"/>
  <c r="P15" i="5" s="1"/>
  <c r="E19" i="5"/>
  <c r="C135" i="5"/>
  <c r="D135" i="5"/>
  <c r="E135" i="5"/>
  <c r="F135" i="5"/>
  <c r="B135" i="5"/>
  <c r="C130" i="5"/>
  <c r="D130" i="5"/>
  <c r="E130" i="5"/>
  <c r="F130" i="5"/>
  <c r="B130" i="5"/>
  <c r="C128" i="5"/>
  <c r="D128" i="5"/>
  <c r="E128" i="5"/>
  <c r="F128" i="5"/>
  <c r="B128" i="5"/>
  <c r="B123" i="5"/>
  <c r="B122" i="5"/>
  <c r="B121" i="5"/>
  <c r="C120" i="5"/>
  <c r="D120" i="5"/>
  <c r="E120" i="5"/>
  <c r="F120" i="5"/>
  <c r="B120" i="5"/>
  <c r="C113" i="5"/>
  <c r="D113" i="5"/>
  <c r="E113" i="5"/>
  <c r="F113" i="5"/>
  <c r="B113" i="5"/>
  <c r="C112" i="5"/>
  <c r="D112" i="5"/>
  <c r="E112" i="5"/>
  <c r="F112" i="5"/>
  <c r="B112" i="5"/>
  <c r="C111" i="5"/>
  <c r="D111" i="5"/>
  <c r="E111" i="5"/>
  <c r="F111" i="5"/>
  <c r="B111" i="5"/>
  <c r="C110" i="5"/>
  <c r="D110" i="5"/>
  <c r="E110" i="5"/>
  <c r="F110" i="5"/>
  <c r="B110" i="5"/>
  <c r="C104" i="5"/>
  <c r="D104" i="5"/>
  <c r="E104" i="5"/>
  <c r="F104" i="5"/>
  <c r="B104" i="5"/>
  <c r="C103" i="5"/>
  <c r="D103" i="5"/>
  <c r="E103" i="5"/>
  <c r="F103" i="5"/>
  <c r="B103" i="5"/>
  <c r="C102" i="5"/>
  <c r="D102" i="5"/>
  <c r="E102" i="5"/>
  <c r="F102" i="5"/>
  <c r="B102" i="5"/>
  <c r="C94" i="5"/>
  <c r="D94" i="5"/>
  <c r="E94" i="5"/>
  <c r="F94" i="5"/>
  <c r="B94" i="5"/>
  <c r="C5" i="6" l="1"/>
  <c r="S6" i="29"/>
  <c r="E21" i="5"/>
  <c r="F42" i="26"/>
  <c r="F18" i="4"/>
  <c r="AW6" i="29" s="1"/>
  <c r="AP51" i="29" s="1"/>
  <c r="AP53" i="29" s="1"/>
  <c r="Q15" i="5"/>
  <c r="J32" i="24"/>
  <c r="F132" i="27"/>
  <c r="F139" i="27"/>
  <c r="F140" i="27" s="1"/>
  <c r="G140" i="27" s="1"/>
  <c r="H19" i="27"/>
  <c r="H43" i="4" s="1"/>
  <c r="G19" i="27"/>
  <c r="G43" i="4" s="1"/>
  <c r="K11" i="5"/>
  <c r="K85" i="5"/>
  <c r="H18" i="5"/>
  <c r="H92" i="5"/>
  <c r="H15" i="5"/>
  <c r="K12" i="5"/>
  <c r="K13" i="5"/>
  <c r="J11" i="5"/>
  <c r="J12" i="5"/>
  <c r="J13" i="5"/>
  <c r="J100" i="27"/>
  <c r="J101" i="27" s="1"/>
  <c r="J72" i="4" s="1"/>
  <c r="J9" i="5"/>
  <c r="I17" i="5"/>
  <c r="J88" i="27"/>
  <c r="J89" i="27" s="1"/>
  <c r="J44" i="4" s="1"/>
  <c r="J16" i="11"/>
  <c r="J8" i="5"/>
  <c r="G16" i="4"/>
  <c r="G139" i="27" s="1"/>
  <c r="G15" i="5"/>
  <c r="G140" i="4"/>
  <c r="I100" i="27"/>
  <c r="I101" i="27" s="1"/>
  <c r="I72" i="4" s="1"/>
  <c r="I9" i="5"/>
  <c r="K9" i="5"/>
  <c r="G16" i="5"/>
  <c r="I116" i="4"/>
  <c r="K88" i="27"/>
  <c r="K89" i="27" s="1"/>
  <c r="K44" i="4" s="1"/>
  <c r="K16" i="11"/>
  <c r="K8" i="5"/>
  <c r="H140" i="4"/>
  <c r="N19" i="5"/>
  <c r="G153" i="18"/>
  <c r="D19" i="4"/>
  <c r="D22" i="5" s="1"/>
  <c r="D156" i="27"/>
  <c r="D36" i="28"/>
  <c r="D38" i="28" s="1"/>
  <c r="D47" i="28" s="1"/>
  <c r="C19" i="4"/>
  <c r="C22" i="5" s="1"/>
  <c r="C156" i="27"/>
  <c r="C36" i="28"/>
  <c r="C38" i="28" s="1"/>
  <c r="C47" i="28" s="1"/>
  <c r="E19" i="4"/>
  <c r="E156" i="27"/>
  <c r="E36" i="28"/>
  <c r="E38" i="28" s="1"/>
  <c r="E47" i="28" s="1"/>
  <c r="D12" i="6"/>
  <c r="C21" i="5"/>
  <c r="N23" i="5" s="1"/>
  <c r="E12" i="6"/>
  <c r="D5" i="6"/>
  <c r="C12" i="6"/>
  <c r="F36" i="28"/>
  <c r="F38" i="28" s="1"/>
  <c r="F47" i="28" s="1"/>
  <c r="F51" i="28" s="1"/>
  <c r="E5" i="6"/>
  <c r="D6" i="6"/>
  <c r="D21" i="5"/>
  <c r="O23" i="5" s="1"/>
  <c r="C6" i="6"/>
  <c r="G133" i="27"/>
  <c r="H133" i="27" s="1"/>
  <c r="I133" i="27" s="1"/>
  <c r="J133" i="27" s="1"/>
  <c r="K133" i="27" s="1"/>
  <c r="H88" i="4"/>
  <c r="H3" i="24"/>
  <c r="G88" i="4"/>
  <c r="G3" i="24"/>
  <c r="K4" i="27"/>
  <c r="K100" i="27"/>
  <c r="K101" i="27" s="1"/>
  <c r="K72" i="4" s="1"/>
  <c r="K138" i="5" s="1"/>
  <c r="E282" i="18"/>
  <c r="D280" i="18"/>
  <c r="D296" i="18"/>
  <c r="C300" i="18"/>
  <c r="G50" i="18"/>
  <c r="G127" i="18"/>
  <c r="G128" i="18"/>
  <c r="G99" i="18"/>
  <c r="G100" i="18"/>
  <c r="G74" i="18"/>
  <c r="G75" i="18"/>
  <c r="H120" i="18"/>
  <c r="H92" i="18"/>
  <c r="H67" i="18"/>
  <c r="H42" i="18"/>
  <c r="J35" i="26"/>
  <c r="J14" i="4" s="1"/>
  <c r="J91" i="5" s="1"/>
  <c r="K35" i="26"/>
  <c r="K14" i="4" s="1"/>
  <c r="K91" i="5" s="1"/>
  <c r="H16" i="4"/>
  <c r="J31" i="26"/>
  <c r="J11" i="4" s="1"/>
  <c r="J14" i="5" s="1"/>
  <c r="J7" i="4"/>
  <c r="J84" i="5" s="1"/>
  <c r="J4" i="27"/>
  <c r="I34" i="26"/>
  <c r="I79" i="26"/>
  <c r="I15" i="4" s="1"/>
  <c r="I7" i="4"/>
  <c r="I4" i="27"/>
  <c r="H36" i="26"/>
  <c r="H13" i="4"/>
  <c r="H90" i="5" s="1"/>
  <c r="J68" i="26"/>
  <c r="J80" i="26" s="1"/>
  <c r="K68" i="26"/>
  <c r="K80" i="26" s="1"/>
  <c r="F6" i="6"/>
  <c r="K31" i="26"/>
  <c r="K11" i="4" s="1"/>
  <c r="K14" i="5" s="1"/>
  <c r="K7" i="4"/>
  <c r="K84" i="5" s="1"/>
  <c r="O19" i="5"/>
  <c r="P22" i="5"/>
  <c r="P23" i="5" s="1"/>
  <c r="P19" i="5"/>
  <c r="Q22" i="5"/>
  <c r="Q19" i="5"/>
  <c r="C92" i="5"/>
  <c r="D92" i="5"/>
  <c r="E92" i="5"/>
  <c r="F92" i="5"/>
  <c r="B92" i="5"/>
  <c r="C91" i="5"/>
  <c r="D91" i="5"/>
  <c r="E91" i="5"/>
  <c r="F91" i="5"/>
  <c r="B91" i="5"/>
  <c r="C90" i="5"/>
  <c r="D90" i="5"/>
  <c r="E90" i="5"/>
  <c r="F90" i="5"/>
  <c r="B90" i="5"/>
  <c r="C87" i="5"/>
  <c r="D87" i="5"/>
  <c r="E87" i="5"/>
  <c r="F87" i="5"/>
  <c r="B87" i="5"/>
  <c r="C86" i="5"/>
  <c r="D86" i="5"/>
  <c r="E86" i="5"/>
  <c r="F86" i="5"/>
  <c r="B86" i="5"/>
  <c r="C85" i="5"/>
  <c r="D85" i="5"/>
  <c r="E85" i="5"/>
  <c r="F85" i="5"/>
  <c r="B85" i="5"/>
  <c r="F5" i="6" l="1"/>
  <c r="F156" i="27"/>
  <c r="F12" i="6"/>
  <c r="F21" i="5"/>
  <c r="Q23" i="5" s="1"/>
  <c r="F19" i="4"/>
  <c r="AP49" i="29"/>
  <c r="G110" i="5"/>
  <c r="H31" i="24"/>
  <c r="G113" i="4"/>
  <c r="G119" i="4"/>
  <c r="G125" i="4" s="1"/>
  <c r="G128" i="4" s="1"/>
  <c r="K14" i="27"/>
  <c r="K16" i="27"/>
  <c r="K6" i="27"/>
  <c r="K12" i="27"/>
  <c r="K10" i="27"/>
  <c r="K8" i="27"/>
  <c r="I6" i="27"/>
  <c r="I14" i="27"/>
  <c r="I16" i="27"/>
  <c r="I12" i="27"/>
  <c r="I10" i="27"/>
  <c r="I8" i="27"/>
  <c r="J16" i="27"/>
  <c r="J14" i="27"/>
  <c r="J6" i="27"/>
  <c r="J12" i="27"/>
  <c r="J10" i="27"/>
  <c r="J8" i="27"/>
  <c r="I31" i="24"/>
  <c r="H110" i="5"/>
  <c r="H113" i="4"/>
  <c r="H119" i="4"/>
  <c r="H125" i="4" s="1"/>
  <c r="H128" i="4" s="1"/>
  <c r="G132" i="27"/>
  <c r="G131" i="27" s="1"/>
  <c r="G45" i="4" s="1"/>
  <c r="L32" i="24"/>
  <c r="K111" i="5"/>
  <c r="K32" i="24"/>
  <c r="J111" i="5"/>
  <c r="I10" i="5"/>
  <c r="I84" i="5"/>
  <c r="I18" i="5"/>
  <c r="I92" i="5"/>
  <c r="G42" i="26"/>
  <c r="G43" i="26" s="1"/>
  <c r="G59" i="26" s="1"/>
  <c r="G17" i="4" s="1"/>
  <c r="G94" i="5" s="1"/>
  <c r="J36" i="24"/>
  <c r="I138" i="5"/>
  <c r="K36" i="24"/>
  <c r="J138" i="5"/>
  <c r="I122" i="4"/>
  <c r="J122" i="4"/>
  <c r="H19" i="5"/>
  <c r="G19" i="5"/>
  <c r="J116" i="4"/>
  <c r="J85" i="4"/>
  <c r="J10" i="5"/>
  <c r="K17" i="5"/>
  <c r="K85" i="4"/>
  <c r="K10" i="5"/>
  <c r="H16" i="5"/>
  <c r="J17" i="5"/>
  <c r="K116" i="4"/>
  <c r="L36" i="24"/>
  <c r="K122" i="4"/>
  <c r="D51" i="28"/>
  <c r="D53" i="28" s="1"/>
  <c r="D49" i="28"/>
  <c r="G137" i="27"/>
  <c r="G71" i="4" s="1"/>
  <c r="G137" i="5" s="1"/>
  <c r="H140" i="27"/>
  <c r="C51" i="28"/>
  <c r="C53" i="28" s="1"/>
  <c r="C49" i="28"/>
  <c r="F53" i="28"/>
  <c r="F49" i="28"/>
  <c r="G35" i="28"/>
  <c r="E49" i="28"/>
  <c r="E51" i="28"/>
  <c r="E53" i="28" s="1"/>
  <c r="I12" i="4"/>
  <c r="I7" i="6" s="1"/>
  <c r="I85" i="4"/>
  <c r="H42" i="26"/>
  <c r="H43" i="26" s="1"/>
  <c r="H59" i="26" s="1"/>
  <c r="H17" i="4" s="1"/>
  <c r="H94" i="5" s="1"/>
  <c r="H132" i="27"/>
  <c r="H131" i="27" s="1"/>
  <c r="H45" i="4" s="1"/>
  <c r="H139" i="27"/>
  <c r="J12" i="4"/>
  <c r="J7" i="6" s="1"/>
  <c r="D300" i="18"/>
  <c r="C304" i="18"/>
  <c r="J34" i="4" s="1"/>
  <c r="J103" i="5" s="1"/>
  <c r="C306" i="18"/>
  <c r="C310" i="18" s="1"/>
  <c r="C314" i="18" s="1"/>
  <c r="K34" i="4" s="1"/>
  <c r="K103" i="5" s="1"/>
  <c r="I79" i="18"/>
  <c r="I90" i="18" s="1"/>
  <c r="H96" i="18"/>
  <c r="I104" i="18"/>
  <c r="I118" i="18" s="1"/>
  <c r="H124" i="18"/>
  <c r="H71" i="18"/>
  <c r="I54" i="18"/>
  <c r="I65" i="18" s="1"/>
  <c r="H46" i="18"/>
  <c r="I29" i="18"/>
  <c r="I40" i="18" s="1"/>
  <c r="I36" i="26"/>
  <c r="I13" i="4"/>
  <c r="I90" i="5" s="1"/>
  <c r="K34" i="26"/>
  <c r="K79" i="26"/>
  <c r="K15" i="4" s="1"/>
  <c r="J34" i="26"/>
  <c r="J79" i="26"/>
  <c r="J15" i="4" s="1"/>
  <c r="I16" i="4"/>
  <c r="K12" i="4"/>
  <c r="K7" i="6" s="1"/>
  <c r="C84" i="5"/>
  <c r="D84" i="5"/>
  <c r="E84" i="5"/>
  <c r="B84" i="5"/>
  <c r="C83" i="5"/>
  <c r="D83" i="5"/>
  <c r="E83" i="5"/>
  <c r="F83" i="5"/>
  <c r="B83" i="5"/>
  <c r="C82" i="5"/>
  <c r="D82" i="5"/>
  <c r="E82" i="5"/>
  <c r="F82" i="5"/>
  <c r="B82" i="5"/>
  <c r="N7" i="6" l="1"/>
  <c r="I19" i="27"/>
  <c r="I43" i="4" s="1"/>
  <c r="I110" i="5" s="1"/>
  <c r="G18" i="4"/>
  <c r="G19" i="4" s="1"/>
  <c r="J19" i="27"/>
  <c r="J43" i="4" s="1"/>
  <c r="K19" i="27"/>
  <c r="K43" i="4" s="1"/>
  <c r="G20" i="5"/>
  <c r="K15" i="5"/>
  <c r="K18" i="5"/>
  <c r="K92" i="5"/>
  <c r="J15" i="5"/>
  <c r="J18" i="5"/>
  <c r="J92" i="5"/>
  <c r="H33" i="24"/>
  <c r="J140" i="4"/>
  <c r="I16" i="5"/>
  <c r="G73" i="4"/>
  <c r="I15" i="5"/>
  <c r="I140" i="4"/>
  <c r="K140" i="4"/>
  <c r="I19" i="5"/>
  <c r="H35" i="24"/>
  <c r="H18" i="4"/>
  <c r="H20" i="5"/>
  <c r="H137" i="27"/>
  <c r="H71" i="4" s="1"/>
  <c r="H137" i="5" s="1"/>
  <c r="I140" i="27"/>
  <c r="J140" i="27" s="1"/>
  <c r="K140" i="27" s="1"/>
  <c r="K88" i="4"/>
  <c r="K3" i="24"/>
  <c r="J88" i="4"/>
  <c r="J3" i="24"/>
  <c r="I88" i="4"/>
  <c r="I3" i="24"/>
  <c r="I33" i="24"/>
  <c r="H49" i="4"/>
  <c r="I42" i="26"/>
  <c r="I43" i="26" s="1"/>
  <c r="I59" i="26" s="1"/>
  <c r="I17" i="4" s="1"/>
  <c r="I94" i="5" s="1"/>
  <c r="I139" i="27"/>
  <c r="I132" i="27"/>
  <c r="I131" i="27" s="1"/>
  <c r="I45" i="4" s="1"/>
  <c r="J16" i="4"/>
  <c r="C312" i="18"/>
  <c r="D312" i="18" s="1"/>
  <c r="D314" i="18"/>
  <c r="C302" i="18"/>
  <c r="D304" i="18"/>
  <c r="D306" i="18"/>
  <c r="D310" i="18"/>
  <c r="H44" i="18"/>
  <c r="H48" i="18"/>
  <c r="H122" i="18"/>
  <c r="H126" i="18"/>
  <c r="H94" i="18"/>
  <c r="H98" i="18"/>
  <c r="H69" i="18"/>
  <c r="H73" i="18"/>
  <c r="I120" i="18"/>
  <c r="I123" i="18"/>
  <c r="I92" i="18"/>
  <c r="I95" i="18"/>
  <c r="I67" i="18"/>
  <c r="I70" i="18"/>
  <c r="I42" i="18"/>
  <c r="I45" i="18"/>
  <c r="K16" i="4"/>
  <c r="K36" i="26"/>
  <c r="K13" i="4"/>
  <c r="K90" i="5" s="1"/>
  <c r="J36" i="26"/>
  <c r="J13" i="4"/>
  <c r="J90" i="5" s="1"/>
  <c r="C149" i="4"/>
  <c r="D149" i="4"/>
  <c r="E149" i="4"/>
  <c r="F149" i="4"/>
  <c r="B149" i="4"/>
  <c r="C145" i="4"/>
  <c r="C167" i="4" s="1"/>
  <c r="D145" i="4"/>
  <c r="D167" i="4" s="1"/>
  <c r="F22" i="5"/>
  <c r="E22" i="5"/>
  <c r="C158" i="4"/>
  <c r="C152" i="4" s="1"/>
  <c r="D158" i="4"/>
  <c r="D152" i="4" s="1"/>
  <c r="E158" i="4"/>
  <c r="F158" i="4"/>
  <c r="F152" i="4" s="1"/>
  <c r="B158" i="4"/>
  <c r="B152" i="4" s="1"/>
  <c r="F164" i="4"/>
  <c r="B164" i="4"/>
  <c r="D164" i="4"/>
  <c r="E164" i="4"/>
  <c r="C164" i="4"/>
  <c r="C140" i="4"/>
  <c r="D140" i="4"/>
  <c r="E140" i="4"/>
  <c r="F140" i="4"/>
  <c r="C137" i="4"/>
  <c r="D137" i="4"/>
  <c r="E137" i="4"/>
  <c r="F137" i="4"/>
  <c r="D122" i="4"/>
  <c r="B122" i="4"/>
  <c r="C119" i="4"/>
  <c r="D119" i="4"/>
  <c r="E119" i="4"/>
  <c r="F119" i="4"/>
  <c r="B119" i="4"/>
  <c r="C116" i="4"/>
  <c r="D116" i="4"/>
  <c r="E116" i="4"/>
  <c r="F116" i="4"/>
  <c r="B116" i="4"/>
  <c r="C113" i="4"/>
  <c r="D113" i="4"/>
  <c r="E113" i="4"/>
  <c r="F113" i="4"/>
  <c r="B113" i="4"/>
  <c r="C102" i="4"/>
  <c r="D102" i="4"/>
  <c r="E102" i="4"/>
  <c r="F102" i="4"/>
  <c r="C105" i="4"/>
  <c r="D105" i="4"/>
  <c r="E105" i="4"/>
  <c r="F105" i="4"/>
  <c r="C99" i="4"/>
  <c r="D99" i="4"/>
  <c r="E99" i="4"/>
  <c r="F99" i="4"/>
  <c r="C94" i="4"/>
  <c r="D94" i="4"/>
  <c r="E94" i="4"/>
  <c r="F94" i="4"/>
  <c r="C88" i="4"/>
  <c r="D88" i="4"/>
  <c r="E88" i="4"/>
  <c r="F88" i="4"/>
  <c r="C85" i="4"/>
  <c r="D85" i="4"/>
  <c r="E85" i="4"/>
  <c r="F85" i="4"/>
  <c r="B85" i="4"/>
  <c r="B67" i="4"/>
  <c r="B60" i="4"/>
  <c r="B49" i="4"/>
  <c r="B41" i="4"/>
  <c r="B107" i="5" s="1"/>
  <c r="D41" i="4"/>
  <c r="B12" i="4"/>
  <c r="K89" i="5" s="1"/>
  <c r="C41" i="4"/>
  <c r="F41" i="4"/>
  <c r="F107" i="5" s="1"/>
  <c r="E41" i="4"/>
  <c r="H114" i="5" l="1"/>
  <c r="J31" i="24"/>
  <c r="I119" i="4"/>
  <c r="I125" i="4" s="1"/>
  <c r="I128" i="4" s="1"/>
  <c r="G36" i="28"/>
  <c r="G38" i="28" s="1"/>
  <c r="G21" i="5"/>
  <c r="I113" i="4"/>
  <c r="J110" i="5"/>
  <c r="K31" i="24"/>
  <c r="J119" i="4"/>
  <c r="J125" i="4" s="1"/>
  <c r="J128" i="4" s="1"/>
  <c r="J113" i="4"/>
  <c r="H6" i="6"/>
  <c r="H5" i="6"/>
  <c r="G145" i="4"/>
  <c r="G21" i="4"/>
  <c r="L31" i="24"/>
  <c r="K110" i="5"/>
  <c r="K113" i="4"/>
  <c r="K119" i="4"/>
  <c r="K125" i="4" s="1"/>
  <c r="K128" i="4" s="1"/>
  <c r="G6" i="6"/>
  <c r="G5" i="6"/>
  <c r="I89" i="5"/>
  <c r="E107" i="5"/>
  <c r="G131" i="5"/>
  <c r="J89" i="5"/>
  <c r="G89" i="5"/>
  <c r="H89" i="5"/>
  <c r="H37" i="24"/>
  <c r="H38" i="24" s="1"/>
  <c r="G7" i="24" s="1"/>
  <c r="G10" i="24" s="1"/>
  <c r="H21" i="5"/>
  <c r="G22" i="5"/>
  <c r="H36" i="28"/>
  <c r="H38" i="28" s="1"/>
  <c r="J19" i="5"/>
  <c r="H19" i="4"/>
  <c r="K16" i="5"/>
  <c r="J16" i="5"/>
  <c r="K19" i="5"/>
  <c r="I35" i="24"/>
  <c r="I37" i="24" s="1"/>
  <c r="I18" i="4"/>
  <c r="I20" i="5"/>
  <c r="I137" i="27"/>
  <c r="I71" i="4" s="1"/>
  <c r="I137" i="5" s="1"/>
  <c r="H73" i="4"/>
  <c r="H131" i="5" s="1"/>
  <c r="B16" i="4"/>
  <c r="K93" i="5" s="1"/>
  <c r="B3" i="24"/>
  <c r="B10" i="24" s="1"/>
  <c r="B134" i="4"/>
  <c r="B52" i="28"/>
  <c r="J33" i="24"/>
  <c r="I49" i="4"/>
  <c r="I114" i="5" s="1"/>
  <c r="J42" i="26"/>
  <c r="J43" i="26" s="1"/>
  <c r="J59" i="26" s="1"/>
  <c r="J17" i="4" s="1"/>
  <c r="J94" i="5" s="1"/>
  <c r="J132" i="27"/>
  <c r="J131" i="27" s="1"/>
  <c r="J45" i="4" s="1"/>
  <c r="J139" i="27"/>
  <c r="J137" i="27" s="1"/>
  <c r="J71" i="4" s="1"/>
  <c r="J137" i="5" s="1"/>
  <c r="K42" i="26"/>
  <c r="K43" i="26" s="1"/>
  <c r="K59" i="26" s="1"/>
  <c r="K17" i="4" s="1"/>
  <c r="K94" i="5" s="1"/>
  <c r="K139" i="27"/>
  <c r="K137" i="27" s="1"/>
  <c r="K71" i="4" s="1"/>
  <c r="K137" i="5" s="1"/>
  <c r="K132" i="27"/>
  <c r="K131" i="27" s="1"/>
  <c r="K45" i="4" s="1"/>
  <c r="E304" i="18"/>
  <c r="D302" i="18"/>
  <c r="H127" i="18"/>
  <c r="H128" i="18"/>
  <c r="H99" i="18"/>
  <c r="H100" i="18"/>
  <c r="H49" i="18"/>
  <c r="H50" i="18"/>
  <c r="H74" i="18"/>
  <c r="H75" i="18"/>
  <c r="J79" i="18"/>
  <c r="J90" i="18" s="1"/>
  <c r="J92" i="18" s="1"/>
  <c r="I96" i="18"/>
  <c r="J104" i="18"/>
  <c r="J118" i="18" s="1"/>
  <c r="J120" i="18" s="1"/>
  <c r="I124" i="18"/>
  <c r="J54" i="18"/>
  <c r="J65" i="18" s="1"/>
  <c r="J67" i="18" s="1"/>
  <c r="I71" i="18"/>
  <c r="J29" i="18"/>
  <c r="J40" i="18" s="1"/>
  <c r="J42" i="18" s="1"/>
  <c r="I46" i="18"/>
  <c r="C107" i="5"/>
  <c r="D107" i="5"/>
  <c r="B114" i="5"/>
  <c r="E114" i="5"/>
  <c r="F114" i="5"/>
  <c r="D114" i="5"/>
  <c r="C114" i="5"/>
  <c r="F93" i="5"/>
  <c r="C50" i="4"/>
  <c r="F50" i="4"/>
  <c r="E50" i="4"/>
  <c r="D50" i="4"/>
  <c r="B7" i="6"/>
  <c r="B15" i="5"/>
  <c r="B88" i="4"/>
  <c r="C89" i="5"/>
  <c r="B89" i="5"/>
  <c r="E89" i="5"/>
  <c r="F89" i="5"/>
  <c r="D89" i="5"/>
  <c r="E145" i="4"/>
  <c r="E167" i="4" s="1"/>
  <c r="F145" i="4"/>
  <c r="F155" i="4" s="1"/>
  <c r="E152" i="4"/>
  <c r="D155" i="4"/>
  <c r="B125" i="4"/>
  <c r="B128" i="4" s="1"/>
  <c r="C125" i="4"/>
  <c r="C155" i="4"/>
  <c r="D125" i="4"/>
  <c r="D128" i="4" s="1"/>
  <c r="B75" i="4"/>
  <c r="E125" i="4"/>
  <c r="E128" i="4" s="1"/>
  <c r="F125" i="4"/>
  <c r="F128" i="4" s="1"/>
  <c r="B140" i="4"/>
  <c r="L140" i="4" s="1"/>
  <c r="B50" i="4"/>
  <c r="F116" i="29" s="1"/>
  <c r="C20" i="29" s="1"/>
  <c r="B102" i="4"/>
  <c r="B99" i="4"/>
  <c r="B105" i="4"/>
  <c r="C79" i="4" l="1"/>
  <c r="E116" i="29"/>
  <c r="M20" i="29" s="1"/>
  <c r="D79" i="4"/>
  <c r="D116" i="29"/>
  <c r="W20" i="29" s="1"/>
  <c r="E79" i="4"/>
  <c r="C116" i="29"/>
  <c r="AG20" i="29" s="1"/>
  <c r="F79" i="4"/>
  <c r="B116" i="29"/>
  <c r="M7" i="6"/>
  <c r="O7" i="6"/>
  <c r="G13" i="24"/>
  <c r="I36" i="28"/>
  <c r="I38" i="28" s="1"/>
  <c r="I6" i="6"/>
  <c r="I5" i="6"/>
  <c r="H145" i="4"/>
  <c r="H21" i="4"/>
  <c r="B18" i="4"/>
  <c r="I6" i="29" s="1"/>
  <c r="H93" i="5"/>
  <c r="G93" i="5"/>
  <c r="I93" i="5"/>
  <c r="J93" i="5"/>
  <c r="I38" i="24"/>
  <c r="H7" i="24" s="1"/>
  <c r="H22" i="5"/>
  <c r="I21" i="5"/>
  <c r="I95" i="5"/>
  <c r="I19" i="4"/>
  <c r="I21" i="4" s="1"/>
  <c r="J35" i="24"/>
  <c r="J37" i="24" s="1"/>
  <c r="J38" i="24" s="1"/>
  <c r="I7" i="24" s="1"/>
  <c r="H102" i="4"/>
  <c r="J18" i="4"/>
  <c r="J20" i="5"/>
  <c r="K18" i="4"/>
  <c r="K20" i="5"/>
  <c r="I73" i="4"/>
  <c r="H99" i="4"/>
  <c r="H105" i="4"/>
  <c r="D93" i="5"/>
  <c r="B94" i="4"/>
  <c r="B36" i="28"/>
  <c r="B38" i="28" s="1"/>
  <c r="B47" i="28" s="1"/>
  <c r="D17" i="25"/>
  <c r="D16" i="25" s="1"/>
  <c r="D43" i="28"/>
  <c r="C17" i="25"/>
  <c r="C16" i="25" s="1"/>
  <c r="C43" i="28"/>
  <c r="C93" i="5"/>
  <c r="B19" i="5"/>
  <c r="M25" i="5" s="1"/>
  <c r="F17" i="25"/>
  <c r="F16" i="25" s="1"/>
  <c r="F43" i="28"/>
  <c r="E93" i="5"/>
  <c r="B132" i="27"/>
  <c r="B139" i="27"/>
  <c r="B42" i="26"/>
  <c r="B93" i="5"/>
  <c r="L35" i="24"/>
  <c r="K73" i="4"/>
  <c r="K131" i="5" s="1"/>
  <c r="L33" i="24"/>
  <c r="K49" i="4"/>
  <c r="K114" i="5" s="1"/>
  <c r="K33" i="24"/>
  <c r="J49" i="4"/>
  <c r="J114" i="5" s="1"/>
  <c r="K35" i="24"/>
  <c r="J73" i="4"/>
  <c r="J131" i="5" s="1"/>
  <c r="I122" i="18"/>
  <c r="I126" i="18"/>
  <c r="I69" i="18"/>
  <c r="I73" i="18"/>
  <c r="I94" i="18"/>
  <c r="I98" i="18"/>
  <c r="I44" i="18"/>
  <c r="I48" i="18"/>
  <c r="K79" i="18"/>
  <c r="K90" i="18" s="1"/>
  <c r="K92" i="18" s="1"/>
  <c r="K96" i="18" s="1"/>
  <c r="K98" i="18" s="1"/>
  <c r="J96" i="18"/>
  <c r="J98" i="18" s="1"/>
  <c r="J99" i="18" s="1"/>
  <c r="J95" i="18"/>
  <c r="K104" i="18"/>
  <c r="K118" i="18" s="1"/>
  <c r="K120" i="18" s="1"/>
  <c r="J124" i="18"/>
  <c r="J123" i="18"/>
  <c r="K54" i="18"/>
  <c r="K65" i="18" s="1"/>
  <c r="K67" i="18" s="1"/>
  <c r="J71" i="18"/>
  <c r="J73" i="18" s="1"/>
  <c r="J74" i="18" s="1"/>
  <c r="J70" i="18"/>
  <c r="K29" i="18"/>
  <c r="K40" i="18" s="1"/>
  <c r="K42" i="18" s="1"/>
  <c r="K46" i="18" s="1"/>
  <c r="K48" i="18" s="1"/>
  <c r="J46" i="18"/>
  <c r="J48" i="18" s="1"/>
  <c r="J49" i="18" s="1"/>
  <c r="J45" i="18"/>
  <c r="B6" i="6"/>
  <c r="M6" i="6" s="1"/>
  <c r="B33" i="5"/>
  <c r="B35" i="5"/>
  <c r="B69" i="5"/>
  <c r="B42" i="5"/>
  <c r="B60" i="5"/>
  <c r="E36" i="5"/>
  <c r="E56" i="5"/>
  <c r="E60" i="5"/>
  <c r="E69" i="5"/>
  <c r="E55" i="5"/>
  <c r="E41" i="5"/>
  <c r="E35" i="5"/>
  <c r="E70" i="5"/>
  <c r="E54" i="5"/>
  <c r="E33" i="5"/>
  <c r="E57" i="5"/>
  <c r="F69" i="5"/>
  <c r="F54" i="5"/>
  <c r="F70" i="5"/>
  <c r="F56" i="5"/>
  <c r="F60" i="5"/>
  <c r="F55" i="5"/>
  <c r="F35" i="5"/>
  <c r="F33" i="5"/>
  <c r="F57" i="5"/>
  <c r="D36" i="5"/>
  <c r="D54" i="5"/>
  <c r="D41" i="5"/>
  <c r="D35" i="5"/>
  <c r="D60" i="5"/>
  <c r="D56" i="5"/>
  <c r="D33" i="5"/>
  <c r="D69" i="5"/>
  <c r="D70" i="5"/>
  <c r="D55" i="5"/>
  <c r="D57" i="5"/>
  <c r="C36" i="5"/>
  <c r="C70" i="5"/>
  <c r="C56" i="5"/>
  <c r="C33" i="5"/>
  <c r="C34" i="5"/>
  <c r="C55" i="5"/>
  <c r="C54" i="5"/>
  <c r="C60" i="5"/>
  <c r="C41" i="5"/>
  <c r="C35" i="5"/>
  <c r="C57" i="5"/>
  <c r="B21" i="5"/>
  <c r="M27" i="5" s="1"/>
  <c r="B5" i="6"/>
  <c r="M5" i="6" s="1"/>
  <c r="C95" i="5"/>
  <c r="D95" i="5"/>
  <c r="E95" i="5"/>
  <c r="F95" i="5"/>
  <c r="M15" i="5"/>
  <c r="M18" i="5"/>
  <c r="Q36" i="4"/>
  <c r="F68" i="5"/>
  <c r="F64" i="5"/>
  <c r="F31" i="5"/>
  <c r="F67" i="5"/>
  <c r="F63" i="5"/>
  <c r="F62" i="5"/>
  <c r="F30" i="5"/>
  <c r="F9" i="6"/>
  <c r="F74" i="5"/>
  <c r="F73" i="5"/>
  <c r="F71" i="5"/>
  <c r="F52" i="5"/>
  <c r="F47" i="5"/>
  <c r="F45" i="5"/>
  <c r="F44" i="5"/>
  <c r="F43" i="5"/>
  <c r="F40" i="5"/>
  <c r="F39" i="5"/>
  <c r="F29" i="5"/>
  <c r="F28" i="5"/>
  <c r="F61" i="5"/>
  <c r="F8" i="6"/>
  <c r="L75" i="4"/>
  <c r="F110" i="4"/>
  <c r="F91" i="4"/>
  <c r="F36" i="5"/>
  <c r="O36" i="4"/>
  <c r="D74" i="5"/>
  <c r="D71" i="5"/>
  <c r="D52" i="5"/>
  <c r="D47" i="5"/>
  <c r="D45" i="5"/>
  <c r="D44" i="5"/>
  <c r="D43" i="5"/>
  <c r="D40" i="5"/>
  <c r="D39" i="5"/>
  <c r="D29" i="5"/>
  <c r="D28" i="5"/>
  <c r="D67" i="5"/>
  <c r="D64" i="5"/>
  <c r="D63" i="5"/>
  <c r="D62" i="5"/>
  <c r="D61" i="5"/>
  <c r="D31" i="5"/>
  <c r="D30" i="5"/>
  <c r="D9" i="6"/>
  <c r="D8" i="6"/>
  <c r="D68" i="5"/>
  <c r="D73" i="5"/>
  <c r="D110" i="4"/>
  <c r="D91" i="4"/>
  <c r="P36" i="4"/>
  <c r="E67" i="5"/>
  <c r="E64" i="5"/>
  <c r="E63" i="5"/>
  <c r="E62" i="5"/>
  <c r="E61" i="5"/>
  <c r="E31" i="5"/>
  <c r="E30" i="5"/>
  <c r="E74" i="5"/>
  <c r="E52" i="5"/>
  <c r="E43" i="5"/>
  <c r="E28" i="5"/>
  <c r="E68" i="5"/>
  <c r="E73" i="5"/>
  <c r="E47" i="5"/>
  <c r="E44" i="5"/>
  <c r="E39" i="5"/>
  <c r="E9" i="6"/>
  <c r="E8" i="6"/>
  <c r="E71" i="5"/>
  <c r="E45" i="5"/>
  <c r="E40" i="5"/>
  <c r="E29" i="5"/>
  <c r="E110" i="4"/>
  <c r="E91" i="4"/>
  <c r="N36" i="4"/>
  <c r="C9" i="6"/>
  <c r="C8" i="6"/>
  <c r="C74" i="5"/>
  <c r="C73" i="5"/>
  <c r="C71" i="5"/>
  <c r="C52" i="5"/>
  <c r="C47" i="5"/>
  <c r="C45" i="5"/>
  <c r="C44" i="5"/>
  <c r="C43" i="5"/>
  <c r="C40" i="5"/>
  <c r="C39" i="5"/>
  <c r="C29" i="5"/>
  <c r="C28" i="5"/>
  <c r="C67" i="5"/>
  <c r="C64" i="5"/>
  <c r="C63" i="5"/>
  <c r="C62" i="5"/>
  <c r="C31" i="5"/>
  <c r="C110" i="4"/>
  <c r="C91" i="4"/>
  <c r="E155" i="4"/>
  <c r="B71" i="5"/>
  <c r="B73" i="5"/>
  <c r="B57" i="5"/>
  <c r="F167" i="4"/>
  <c r="B62" i="5"/>
  <c r="B53" i="5"/>
  <c r="B44" i="5"/>
  <c r="B39" i="5"/>
  <c r="B63" i="5"/>
  <c r="B54" i="5"/>
  <c r="B40" i="5"/>
  <c r="B70" i="5"/>
  <c r="B67" i="5"/>
  <c r="B56" i="5"/>
  <c r="B52" i="5"/>
  <c r="B43" i="5"/>
  <c r="B31" i="5"/>
  <c r="B29" i="5"/>
  <c r="B55" i="5"/>
  <c r="B47" i="5"/>
  <c r="B28" i="5"/>
  <c r="B9" i="6"/>
  <c r="B34" i="5"/>
  <c r="B8" i="6"/>
  <c r="B36" i="5"/>
  <c r="B64" i="5"/>
  <c r="B45" i="5"/>
  <c r="C140" i="5"/>
  <c r="B140" i="5"/>
  <c r="D140" i="5"/>
  <c r="E140" i="5"/>
  <c r="F140" i="5"/>
  <c r="F116" i="5"/>
  <c r="C116" i="5"/>
  <c r="B116" i="5"/>
  <c r="E116" i="5"/>
  <c r="D116" i="5"/>
  <c r="B110" i="4"/>
  <c r="B76" i="4"/>
  <c r="B137" i="4"/>
  <c r="B91" i="4"/>
  <c r="AQ20" i="29" l="1"/>
  <c r="AQ49" i="29"/>
  <c r="AQ51" i="29" s="1"/>
  <c r="AQ53" i="29" s="1"/>
  <c r="B19" i="4"/>
  <c r="G96" i="5" s="1"/>
  <c r="B95" i="5"/>
  <c r="M22" i="5"/>
  <c r="M23" i="5" s="1"/>
  <c r="B12" i="6"/>
  <c r="B156" i="27"/>
  <c r="B160" i="27" s="1"/>
  <c r="C154" i="27" s="1"/>
  <c r="C160" i="27" s="1"/>
  <c r="D154" i="27" s="1"/>
  <c r="D160" i="27" s="1"/>
  <c r="E154" i="27" s="1"/>
  <c r="E160" i="27" s="1"/>
  <c r="F154" i="27" s="1"/>
  <c r="F160" i="27" s="1"/>
  <c r="G154" i="27" s="1"/>
  <c r="G160" i="27" s="1"/>
  <c r="G165" i="27" s="1"/>
  <c r="K6" i="6"/>
  <c r="K5" i="6"/>
  <c r="J5" i="6"/>
  <c r="J6" i="6"/>
  <c r="I96" i="5"/>
  <c r="I105" i="4"/>
  <c r="I131" i="5"/>
  <c r="H96" i="5"/>
  <c r="G95" i="5"/>
  <c r="H95" i="5"/>
  <c r="I22" i="5"/>
  <c r="I145" i="4"/>
  <c r="J21" i="5"/>
  <c r="J95" i="5"/>
  <c r="K21" i="5"/>
  <c r="K95" i="5"/>
  <c r="J36" i="28"/>
  <c r="J38" i="28" s="1"/>
  <c r="J19" i="4"/>
  <c r="K19" i="4"/>
  <c r="K36" i="28"/>
  <c r="K38" i="28" s="1"/>
  <c r="I102" i="4"/>
  <c r="M19" i="5"/>
  <c r="L37" i="24"/>
  <c r="J105" i="4"/>
  <c r="J102" i="4"/>
  <c r="J99" i="4"/>
  <c r="I99" i="4"/>
  <c r="K99" i="4"/>
  <c r="K105" i="4"/>
  <c r="K102" i="4"/>
  <c r="B74" i="5"/>
  <c r="B79" i="4"/>
  <c r="E17" i="25"/>
  <c r="E16" i="25" s="1"/>
  <c r="E43" i="28"/>
  <c r="B51" i="28"/>
  <c r="B53" i="28" s="1"/>
  <c r="B49" i="28"/>
  <c r="H154" i="27"/>
  <c r="H160" i="27" s="1"/>
  <c r="K37" i="24"/>
  <c r="K38" i="24" s="1"/>
  <c r="J7" i="24" s="1"/>
  <c r="J50" i="18"/>
  <c r="J100" i="18"/>
  <c r="K95" i="18"/>
  <c r="K124" i="18"/>
  <c r="K126" i="18" s="1"/>
  <c r="K127" i="18" s="1"/>
  <c r="I99" i="18"/>
  <c r="I100" i="18"/>
  <c r="K71" i="18"/>
  <c r="K73" i="18" s="1"/>
  <c r="K74" i="18" s="1"/>
  <c r="J75" i="18"/>
  <c r="K50" i="18"/>
  <c r="K49" i="18"/>
  <c r="I49" i="18"/>
  <c r="I50" i="18"/>
  <c r="I74" i="18"/>
  <c r="I75" i="18"/>
  <c r="I127" i="18"/>
  <c r="I128" i="18"/>
  <c r="J122" i="18"/>
  <c r="J126" i="18"/>
  <c r="K100" i="18"/>
  <c r="K99" i="18"/>
  <c r="K123" i="18"/>
  <c r="J94" i="18"/>
  <c r="K94" i="18"/>
  <c r="J69" i="18"/>
  <c r="K70" i="18"/>
  <c r="K45" i="18"/>
  <c r="K44" i="18" s="1"/>
  <c r="J44" i="18"/>
  <c r="N57" i="5"/>
  <c r="N58" i="5" s="1"/>
  <c r="M29" i="5"/>
  <c r="N70" i="5"/>
  <c r="N71" i="5" s="1"/>
  <c r="Q57" i="5"/>
  <c r="Q58" i="5" s="1"/>
  <c r="O57" i="5"/>
  <c r="O58" i="5" s="1"/>
  <c r="P57" i="5"/>
  <c r="P58" i="5" s="1"/>
  <c r="B22" i="5"/>
  <c r="B145" i="4"/>
  <c r="E96" i="5"/>
  <c r="D96" i="5"/>
  <c r="F96" i="5"/>
  <c r="B96" i="5"/>
  <c r="C96" i="5"/>
  <c r="M9" i="6"/>
  <c r="M8" i="6"/>
  <c r="C11" i="6"/>
  <c r="C13" i="6" s="1"/>
  <c r="D11" i="6"/>
  <c r="D13" i="6" s="1"/>
  <c r="F11" i="6"/>
  <c r="F13" i="6" s="1"/>
  <c r="P70" i="5"/>
  <c r="P71" i="5" s="1"/>
  <c r="P64" i="5"/>
  <c r="P65" i="5" s="1"/>
  <c r="N45" i="5"/>
  <c r="N46" i="5" s="1"/>
  <c r="M70" i="5"/>
  <c r="M71" i="5" s="1"/>
  <c r="Q64" i="5"/>
  <c r="Q65" i="5" s="1"/>
  <c r="Q36" i="5"/>
  <c r="Q37" i="5" s="1"/>
  <c r="M64" i="5"/>
  <c r="M65" i="5" s="1"/>
  <c r="O36" i="5"/>
  <c r="O37" i="5" s="1"/>
  <c r="Q45" i="5"/>
  <c r="Q46" i="5" s="1"/>
  <c r="M36" i="5"/>
  <c r="M37" i="5" s="1"/>
  <c r="P45" i="5"/>
  <c r="P46" i="5" s="1"/>
  <c r="O45" i="5"/>
  <c r="O46" i="5" s="1"/>
  <c r="Q70" i="5"/>
  <c r="Q71" i="5" s="1"/>
  <c r="M45" i="5"/>
  <c r="M46" i="5" s="1"/>
  <c r="N64" i="5"/>
  <c r="N65" i="5" s="1"/>
  <c r="N36" i="5"/>
  <c r="N37" i="5" s="1"/>
  <c r="P36" i="5"/>
  <c r="P37" i="5" s="1"/>
  <c r="O64" i="5"/>
  <c r="O65" i="5" s="1"/>
  <c r="O70" i="5"/>
  <c r="O71" i="5" s="1"/>
  <c r="M57" i="5"/>
  <c r="M58" i="5" s="1"/>
  <c r="M36" i="4"/>
  <c r="E11" i="6"/>
  <c r="E13" i="6" s="1"/>
  <c r="B11" i="6"/>
  <c r="B13" i="6" s="1"/>
  <c r="C141" i="5"/>
  <c r="D141" i="5"/>
  <c r="E141" i="5"/>
  <c r="F141" i="5"/>
  <c r="L137" i="5" s="1"/>
  <c r="B141" i="5"/>
  <c r="N5" i="6" l="1"/>
  <c r="O6" i="6"/>
  <c r="O5" i="6"/>
  <c r="N6" i="6"/>
  <c r="K22" i="5"/>
  <c r="K21" i="4"/>
  <c r="J96" i="5"/>
  <c r="J21" i="4"/>
  <c r="J22" i="5"/>
  <c r="J145" i="4"/>
  <c r="K145" i="4"/>
  <c r="K96" i="5"/>
  <c r="G162" i="27"/>
  <c r="G164" i="27" s="1"/>
  <c r="L38" i="24"/>
  <c r="K7" i="24" s="1"/>
  <c r="H165" i="27"/>
  <c r="I154" i="27"/>
  <c r="I160" i="27" s="1"/>
  <c r="K69" i="18"/>
  <c r="K122" i="18"/>
  <c r="K75" i="18"/>
  <c r="K128" i="18"/>
  <c r="J127" i="18"/>
  <c r="J128" i="18"/>
  <c r="L145" i="4"/>
  <c r="B155" i="4"/>
  <c r="B167" i="4"/>
  <c r="B67" i="27"/>
  <c r="C67" i="27"/>
  <c r="D67" i="27"/>
  <c r="G146" i="18"/>
  <c r="G17" i="18"/>
  <c r="G65" i="4" l="1"/>
  <c r="G128" i="5" s="1"/>
  <c r="G172" i="27"/>
  <c r="H162" i="27"/>
  <c r="H164" i="27" s="1"/>
  <c r="G155" i="4"/>
  <c r="G17" i="25" s="1"/>
  <c r="B43" i="28"/>
  <c r="G43" i="28" s="1"/>
  <c r="B17" i="25"/>
  <c r="B16" i="25" s="1"/>
  <c r="I165" i="27"/>
  <c r="J154" i="27"/>
  <c r="J160" i="27" s="1"/>
  <c r="G38" i="4"/>
  <c r="G106" i="5" s="1"/>
  <c r="G168" i="27"/>
  <c r="G256" i="27"/>
  <c r="G197" i="27" s="1"/>
  <c r="H134" i="18"/>
  <c r="G150" i="18"/>
  <c r="H7" i="18"/>
  <c r="G21" i="18"/>
  <c r="G163" i="18" l="1"/>
  <c r="G33" i="4" s="1"/>
  <c r="G67" i="4"/>
  <c r="I162" i="27"/>
  <c r="I164" i="27" s="1"/>
  <c r="H65" i="4"/>
  <c r="H128" i="5" s="1"/>
  <c r="H172" i="27"/>
  <c r="H38" i="4"/>
  <c r="H106" i="5" s="1"/>
  <c r="H168" i="27"/>
  <c r="H256" i="27"/>
  <c r="H197" i="27" s="1"/>
  <c r="G42" i="28"/>
  <c r="G24" i="11" s="1"/>
  <c r="H43" i="28"/>
  <c r="H42" i="28" s="1"/>
  <c r="G174" i="27"/>
  <c r="G175" i="27" s="1"/>
  <c r="J165" i="27"/>
  <c r="K154" i="27"/>
  <c r="K160" i="27" s="1"/>
  <c r="K165" i="27" s="1"/>
  <c r="H155" i="4"/>
  <c r="G148" i="18"/>
  <c r="G155" i="18"/>
  <c r="H144" i="18"/>
  <c r="G23" i="18"/>
  <c r="G19" i="18"/>
  <c r="H15" i="18"/>
  <c r="H20" i="18" s="1"/>
  <c r="G31" i="11" l="1"/>
  <c r="I155" i="4"/>
  <c r="I17" i="25" s="1"/>
  <c r="H17" i="25"/>
  <c r="G164" i="18"/>
  <c r="G165" i="18" s="1"/>
  <c r="G102" i="5"/>
  <c r="G41" i="4"/>
  <c r="H67" i="4"/>
  <c r="G75" i="4"/>
  <c r="G140" i="5" s="1"/>
  <c r="H149" i="18"/>
  <c r="H152" i="18"/>
  <c r="H5" i="24" s="1"/>
  <c r="H3" i="25"/>
  <c r="H4" i="25" s="1"/>
  <c r="H11" i="25" s="1"/>
  <c r="H24" i="11"/>
  <c r="H31" i="11" s="1"/>
  <c r="I43" i="28"/>
  <c r="G176" i="27"/>
  <c r="G184" i="27"/>
  <c r="G3" i="25"/>
  <c r="G4" i="25" s="1"/>
  <c r="G11" i="25" s="1"/>
  <c r="G47" i="28"/>
  <c r="K162" i="27"/>
  <c r="K164" i="27" s="1"/>
  <c r="J162" i="27"/>
  <c r="J164" i="27" s="1"/>
  <c r="I65" i="4"/>
  <c r="I128" i="5" s="1"/>
  <c r="I172" i="27"/>
  <c r="H174" i="27"/>
  <c r="H175" i="27" s="1"/>
  <c r="I38" i="4"/>
  <c r="I106" i="5" s="1"/>
  <c r="I168" i="27"/>
  <c r="I256" i="27"/>
  <c r="I197" i="27" s="1"/>
  <c r="G156" i="18"/>
  <c r="G157" i="18"/>
  <c r="H146" i="18"/>
  <c r="H17" i="18"/>
  <c r="G25" i="18"/>
  <c r="G24" i="18"/>
  <c r="H5" i="25" l="1"/>
  <c r="G5" i="25"/>
  <c r="H23" i="4"/>
  <c r="H158" i="4" s="1"/>
  <c r="G23" i="4"/>
  <c r="G158" i="4" s="1"/>
  <c r="J155" i="4"/>
  <c r="K155" i="4" s="1"/>
  <c r="K17" i="25" s="1"/>
  <c r="H37" i="11"/>
  <c r="G37" i="11"/>
  <c r="G107" i="5"/>
  <c r="I67" i="4"/>
  <c r="H75" i="4"/>
  <c r="H140" i="5" s="1"/>
  <c r="I42" i="28"/>
  <c r="J43" i="28"/>
  <c r="H184" i="27"/>
  <c r="H185" i="27" s="1"/>
  <c r="G51" i="28"/>
  <c r="H35" i="28"/>
  <c r="H47" i="28" s="1"/>
  <c r="G59" i="4"/>
  <c r="J65" i="4"/>
  <c r="J128" i="5" s="1"/>
  <c r="J172" i="27"/>
  <c r="I174" i="27"/>
  <c r="I175" i="27" s="1"/>
  <c r="J38" i="4"/>
  <c r="J106" i="5" s="1"/>
  <c r="J168" i="27"/>
  <c r="J256" i="27"/>
  <c r="J197" i="27" s="1"/>
  <c r="K65" i="4"/>
  <c r="K128" i="5" s="1"/>
  <c r="K172" i="27"/>
  <c r="G185" i="27"/>
  <c r="G181" i="27"/>
  <c r="H179" i="27"/>
  <c r="H176" i="27"/>
  <c r="K168" i="27"/>
  <c r="K38" i="4"/>
  <c r="K106" i="5" s="1"/>
  <c r="K256" i="27"/>
  <c r="K197" i="27" s="1"/>
  <c r="I134" i="18"/>
  <c r="I144" i="18" s="1"/>
  <c r="H150" i="18"/>
  <c r="I7" i="18"/>
  <c r="I15" i="18" s="1"/>
  <c r="H21" i="18"/>
  <c r="J17" i="25" l="1"/>
  <c r="G123" i="5"/>
  <c r="K67" i="4"/>
  <c r="I75" i="4"/>
  <c r="I140" i="5" s="1"/>
  <c r="J67" i="4"/>
  <c r="I152" i="18"/>
  <c r="I5" i="24" s="1"/>
  <c r="H153" i="18"/>
  <c r="H10" i="24"/>
  <c r="I3" i="25"/>
  <c r="I4" i="25" s="1"/>
  <c r="I11" i="25" s="1"/>
  <c r="I24" i="11"/>
  <c r="I31" i="11" s="1"/>
  <c r="J42" i="28"/>
  <c r="K43" i="28"/>
  <c r="K42" i="28" s="1"/>
  <c r="J174" i="27"/>
  <c r="J175" i="27" s="1"/>
  <c r="J184" i="27" s="1"/>
  <c r="I184" i="27"/>
  <c r="I185" i="27" s="1"/>
  <c r="I176" i="27"/>
  <c r="H51" i="28"/>
  <c r="I35" i="28"/>
  <c r="I47" i="28" s="1"/>
  <c r="H59" i="4"/>
  <c r="H123" i="5" s="1"/>
  <c r="K174" i="27"/>
  <c r="K175" i="27" s="1"/>
  <c r="G190" i="27"/>
  <c r="G240" i="27"/>
  <c r="G247" i="27" s="1"/>
  <c r="H238" i="27" s="1"/>
  <c r="G216" i="27"/>
  <c r="G223" i="27" s="1"/>
  <c r="H214" i="27" s="1"/>
  <c r="G228" i="27"/>
  <c r="G235" i="27" s="1"/>
  <c r="H226" i="27" s="1"/>
  <c r="G204" i="27"/>
  <c r="G211" i="27" s="1"/>
  <c r="H202" i="27" s="1"/>
  <c r="G60" i="4"/>
  <c r="G48" i="28"/>
  <c r="G49" i="28" s="1"/>
  <c r="I179" i="27"/>
  <c r="H181" i="27"/>
  <c r="H163" i="18"/>
  <c r="H33" i="4" s="1"/>
  <c r="H102" i="5" s="1"/>
  <c r="I146" i="18"/>
  <c r="I149" i="18"/>
  <c r="H155" i="18"/>
  <c r="H148" i="18"/>
  <c r="H19" i="18"/>
  <c r="H23" i="18"/>
  <c r="I17" i="18"/>
  <c r="I20" i="18"/>
  <c r="I5" i="25" l="1"/>
  <c r="H13" i="24"/>
  <c r="I23" i="4"/>
  <c r="I158" i="4" s="1"/>
  <c r="G12" i="6"/>
  <c r="I37" i="11"/>
  <c r="J75" i="4"/>
  <c r="J140" i="5" s="1"/>
  <c r="K75" i="4"/>
  <c r="K140" i="5" s="1"/>
  <c r="I153" i="18"/>
  <c r="I10" i="24"/>
  <c r="G134" i="4"/>
  <c r="G94" i="4"/>
  <c r="G16" i="25" s="1"/>
  <c r="G137" i="4"/>
  <c r="K3" i="25"/>
  <c r="K4" i="25" s="1"/>
  <c r="K11" i="25" s="1"/>
  <c r="K24" i="11"/>
  <c r="K31" i="11" s="1"/>
  <c r="K37" i="11" s="1"/>
  <c r="J3" i="25"/>
  <c r="J4" i="25" s="1"/>
  <c r="J11" i="25" s="1"/>
  <c r="J24" i="11"/>
  <c r="J31" i="11" s="1"/>
  <c r="J176" i="27"/>
  <c r="K184" i="27"/>
  <c r="K185" i="27" s="1"/>
  <c r="K176" i="27"/>
  <c r="G52" i="28"/>
  <c r="G53" i="28" s="1"/>
  <c r="G76" i="4"/>
  <c r="G141" i="5" s="1"/>
  <c r="G252" i="27"/>
  <c r="G258" i="27" s="1"/>
  <c r="H250" i="27" s="1"/>
  <c r="G199" i="27"/>
  <c r="H188" i="27" s="1"/>
  <c r="H60" i="4"/>
  <c r="H12" i="6" s="1"/>
  <c r="H48" i="28"/>
  <c r="H49" i="28" s="1"/>
  <c r="I51" i="28"/>
  <c r="I59" i="4"/>
  <c r="I123" i="5" s="1"/>
  <c r="J35" i="28"/>
  <c r="J47" i="28" s="1"/>
  <c r="J179" i="27"/>
  <c r="I181" i="27"/>
  <c r="J185" i="27"/>
  <c r="K179" i="27"/>
  <c r="J181" i="27"/>
  <c r="H228" i="27"/>
  <c r="H235" i="27" s="1"/>
  <c r="I226" i="27" s="1"/>
  <c r="H216" i="27"/>
  <c r="H223" i="27" s="1"/>
  <c r="I214" i="27" s="1"/>
  <c r="H240" i="27"/>
  <c r="H247" i="27" s="1"/>
  <c r="I238" i="27" s="1"/>
  <c r="H190" i="27"/>
  <c r="H204" i="27"/>
  <c r="H211" i="27" s="1"/>
  <c r="I202" i="27" s="1"/>
  <c r="H164" i="18"/>
  <c r="H165" i="18" s="1"/>
  <c r="H41" i="4"/>
  <c r="H107" i="5" s="1"/>
  <c r="H157" i="18"/>
  <c r="H156" i="18"/>
  <c r="J134" i="18"/>
  <c r="J144" i="18" s="1"/>
  <c r="I150" i="18"/>
  <c r="H24" i="18"/>
  <c r="H25" i="18"/>
  <c r="J7" i="18"/>
  <c r="J15" i="18" s="1"/>
  <c r="J17" i="18" s="1"/>
  <c r="I21" i="18"/>
  <c r="J5" i="25" l="1"/>
  <c r="K5" i="25"/>
  <c r="I6" i="25" s="1"/>
  <c r="L4" i="25" s="1"/>
  <c r="I13" i="24"/>
  <c r="J23" i="4"/>
  <c r="J158" i="4" s="1"/>
  <c r="K23" i="4"/>
  <c r="K158" i="4" s="1"/>
  <c r="J37" i="11"/>
  <c r="K181" i="27"/>
  <c r="K204" i="27" s="1"/>
  <c r="H50" i="4"/>
  <c r="J146" i="18"/>
  <c r="J150" i="18" s="1"/>
  <c r="J152" i="18"/>
  <c r="J5" i="24" s="1"/>
  <c r="H199" i="27"/>
  <c r="I188" i="27" s="1"/>
  <c r="H134" i="4"/>
  <c r="H94" i="4"/>
  <c r="H16" i="25" s="1"/>
  <c r="H137" i="4"/>
  <c r="H52" i="28"/>
  <c r="H53" i="28" s="1"/>
  <c r="H76" i="4"/>
  <c r="H141" i="5" s="1"/>
  <c r="I48" i="28"/>
  <c r="I49" i="28" s="1"/>
  <c r="I60" i="4"/>
  <c r="I12" i="6" s="1"/>
  <c r="I240" i="27"/>
  <c r="I247" i="27" s="1"/>
  <c r="J238" i="27" s="1"/>
  <c r="I228" i="27"/>
  <c r="I235" i="27" s="1"/>
  <c r="J226" i="27" s="1"/>
  <c r="I216" i="27"/>
  <c r="I223" i="27" s="1"/>
  <c r="J214" i="27" s="1"/>
  <c r="I190" i="27"/>
  <c r="I204" i="27"/>
  <c r="I211" i="27" s="1"/>
  <c r="J202" i="27" s="1"/>
  <c r="J51" i="28"/>
  <c r="K35" i="28"/>
  <c r="K47" i="28" s="1"/>
  <c r="J59" i="4"/>
  <c r="J123" i="5" s="1"/>
  <c r="H252" i="27"/>
  <c r="H258" i="27" s="1"/>
  <c r="I250" i="27" s="1"/>
  <c r="J190" i="27"/>
  <c r="J204" i="27"/>
  <c r="J240" i="27"/>
  <c r="J216" i="27"/>
  <c r="J228" i="27"/>
  <c r="J235" i="27" s="1"/>
  <c r="K226" i="27" s="1"/>
  <c r="I163" i="18"/>
  <c r="I33" i="4" s="1"/>
  <c r="I102" i="5" s="1"/>
  <c r="J149" i="18"/>
  <c r="I155" i="18"/>
  <c r="I148" i="18"/>
  <c r="I23" i="18"/>
  <c r="I19" i="18"/>
  <c r="K7" i="18"/>
  <c r="K15" i="18" s="1"/>
  <c r="K17" i="18" s="1"/>
  <c r="J21" i="18"/>
  <c r="J20" i="18"/>
  <c r="K190" i="27" l="1"/>
  <c r="K240" i="27"/>
  <c r="K228" i="27"/>
  <c r="K235" i="27" s="1"/>
  <c r="K216" i="27"/>
  <c r="H9" i="6"/>
  <c r="H8" i="6"/>
  <c r="H36" i="5"/>
  <c r="H116" i="5"/>
  <c r="K134" i="18"/>
  <c r="K144" i="18" s="1"/>
  <c r="K152" i="18" s="1"/>
  <c r="K5" i="24" s="1"/>
  <c r="H91" i="4"/>
  <c r="H110" i="4"/>
  <c r="H57" i="5"/>
  <c r="H55" i="5"/>
  <c r="H43" i="5"/>
  <c r="H29" i="5"/>
  <c r="H35" i="5"/>
  <c r="H47" i="5"/>
  <c r="H28" i="5"/>
  <c r="H68" i="5"/>
  <c r="H60" i="5"/>
  <c r="H44" i="5"/>
  <c r="H30" i="5"/>
  <c r="H54" i="5"/>
  <c r="H67" i="5"/>
  <c r="H63" i="5"/>
  <c r="H61" i="5"/>
  <c r="H52" i="5"/>
  <c r="H39" i="5"/>
  <c r="H31" i="5"/>
  <c r="H70" i="5"/>
  <c r="H40" i="5"/>
  <c r="H41" i="5"/>
  <c r="H69" i="5"/>
  <c r="H45" i="5"/>
  <c r="H71" i="5"/>
  <c r="H33" i="5"/>
  <c r="H62" i="5"/>
  <c r="H64" i="5"/>
  <c r="H73" i="5"/>
  <c r="H56" i="5"/>
  <c r="H79" i="4"/>
  <c r="H74" i="5"/>
  <c r="I134" i="4"/>
  <c r="I94" i="4"/>
  <c r="I16" i="25" s="1"/>
  <c r="I137" i="4"/>
  <c r="J223" i="27"/>
  <c r="K214" i="27" s="1"/>
  <c r="J247" i="27"/>
  <c r="K238" i="27" s="1"/>
  <c r="K247" i="27" s="1"/>
  <c r="J252" i="27"/>
  <c r="J48" i="28"/>
  <c r="J49" i="28" s="1"/>
  <c r="J60" i="4"/>
  <c r="J12" i="6" s="1"/>
  <c r="I252" i="27"/>
  <c r="I258" i="27" s="1"/>
  <c r="J250" i="27" s="1"/>
  <c r="I199" i="27"/>
  <c r="J188" i="27" s="1"/>
  <c r="J199" i="27" s="1"/>
  <c r="K188" i="27" s="1"/>
  <c r="J211" i="27"/>
  <c r="K202" i="27" s="1"/>
  <c r="K211" i="27" s="1"/>
  <c r="K51" i="28"/>
  <c r="K59" i="4"/>
  <c r="K123" i="5" s="1"/>
  <c r="I52" i="28"/>
  <c r="I53" i="28" s="1"/>
  <c r="I76" i="4"/>
  <c r="I141" i="5" s="1"/>
  <c r="J163" i="18"/>
  <c r="J33" i="4" s="1"/>
  <c r="J102" i="5" s="1"/>
  <c r="I164" i="18"/>
  <c r="I165" i="18" s="1"/>
  <c r="I41" i="4"/>
  <c r="I107" i="5" s="1"/>
  <c r="I156" i="18"/>
  <c r="I157" i="18"/>
  <c r="J148" i="18"/>
  <c r="J155" i="18"/>
  <c r="K21" i="18"/>
  <c r="K23" i="18" s="1"/>
  <c r="K24" i="18" s="1"/>
  <c r="J23" i="18"/>
  <c r="J19" i="18"/>
  <c r="K20" i="18"/>
  <c r="I24" i="18"/>
  <c r="I25" i="18"/>
  <c r="K223" i="27" l="1"/>
  <c r="K252" i="27"/>
  <c r="K199" i="27"/>
  <c r="I33" i="11"/>
  <c r="H42" i="11"/>
  <c r="H11" i="6"/>
  <c r="H13" i="6" s="1"/>
  <c r="K149" i="18"/>
  <c r="K146" i="18"/>
  <c r="K150" i="18" s="1"/>
  <c r="K155" i="18" s="1"/>
  <c r="K157" i="18" s="1"/>
  <c r="I50" i="4"/>
  <c r="J153" i="18"/>
  <c r="J10" i="24"/>
  <c r="J134" i="4"/>
  <c r="J94" i="4"/>
  <c r="J16" i="25" s="1"/>
  <c r="J137" i="4"/>
  <c r="J52" i="28"/>
  <c r="J53" i="28" s="1"/>
  <c r="J76" i="4"/>
  <c r="J141" i="5" s="1"/>
  <c r="K60" i="4"/>
  <c r="K12" i="6" s="1"/>
  <c r="K48" i="28"/>
  <c r="K49" i="28" s="1"/>
  <c r="J258" i="27"/>
  <c r="K250" i="27" s="1"/>
  <c r="K258" i="27" s="1"/>
  <c r="J164" i="18"/>
  <c r="J165" i="18" s="1"/>
  <c r="J41" i="4"/>
  <c r="J107" i="5" s="1"/>
  <c r="J157" i="18"/>
  <c r="J156" i="18"/>
  <c r="K19" i="18"/>
  <c r="J24" i="18"/>
  <c r="J25" i="18"/>
  <c r="K25" i="18"/>
  <c r="J13" i="24" l="1"/>
  <c r="K163" i="18"/>
  <c r="K33" i="4" s="1"/>
  <c r="K102" i="5" s="1"/>
  <c r="I9" i="6"/>
  <c r="I8" i="6"/>
  <c r="H43" i="11"/>
  <c r="I36" i="5"/>
  <c r="I116" i="5"/>
  <c r="K156" i="18"/>
  <c r="K148" i="18"/>
  <c r="I79" i="4"/>
  <c r="I110" i="4"/>
  <c r="I91" i="4"/>
  <c r="I68" i="5"/>
  <c r="I44" i="5"/>
  <c r="I31" i="5"/>
  <c r="I67" i="5"/>
  <c r="I61" i="5"/>
  <c r="I54" i="5"/>
  <c r="I52" i="5"/>
  <c r="I39" i="5"/>
  <c r="I63" i="5"/>
  <c r="I60" i="5"/>
  <c r="I55" i="5"/>
  <c r="I29" i="5"/>
  <c r="I35" i="5"/>
  <c r="I28" i="5"/>
  <c r="I43" i="5"/>
  <c r="I30" i="5"/>
  <c r="I47" i="5"/>
  <c r="I40" i="5"/>
  <c r="I70" i="5"/>
  <c r="I41" i="5"/>
  <c r="I45" i="5"/>
  <c r="I69" i="5"/>
  <c r="I71" i="5"/>
  <c r="I33" i="5"/>
  <c r="I62" i="5"/>
  <c r="I64" i="5"/>
  <c r="I73" i="5"/>
  <c r="I56" i="5"/>
  <c r="I57" i="5"/>
  <c r="I74" i="5"/>
  <c r="J50" i="4"/>
  <c r="K153" i="18"/>
  <c r="K10" i="24"/>
  <c r="K134" i="4"/>
  <c r="K94" i="4"/>
  <c r="K16" i="25" s="1"/>
  <c r="B12" i="25" s="1"/>
  <c r="L11" i="25" s="1"/>
  <c r="B13" i="25" s="1"/>
  <c r="K137" i="4"/>
  <c r="K52" i="28"/>
  <c r="K53" i="28" s="1"/>
  <c r="K76" i="4"/>
  <c r="K141" i="5" s="1"/>
  <c r="K164" i="18"/>
  <c r="K165" i="18" s="1"/>
  <c r="K41" i="4"/>
  <c r="K107" i="5" s="1"/>
  <c r="I40" i="28"/>
  <c r="H40" i="28"/>
  <c r="J40" i="28"/>
  <c r="G40" i="28"/>
  <c r="K40" i="28"/>
  <c r="G41" i="28"/>
  <c r="K11" i="24" l="1"/>
  <c r="K13" i="24" s="1"/>
  <c r="B17" i="24" s="1"/>
  <c r="B20" i="24" s="1"/>
  <c r="B22" i="24" s="1"/>
  <c r="J9" i="6"/>
  <c r="J8" i="6"/>
  <c r="I42" i="11"/>
  <c r="I11" i="6"/>
  <c r="I13" i="6" s="1"/>
  <c r="J74" i="5"/>
  <c r="J116" i="5"/>
  <c r="J110" i="4"/>
  <c r="J79" i="4"/>
  <c r="J91" i="4"/>
  <c r="J36" i="5"/>
  <c r="K50" i="4"/>
  <c r="J67" i="5"/>
  <c r="J63" i="5"/>
  <c r="J61" i="5"/>
  <c r="J55" i="5"/>
  <c r="J52" i="5"/>
  <c r="J44" i="5"/>
  <c r="J39" i="5"/>
  <c r="J30" i="5"/>
  <c r="J60" i="5"/>
  <c r="J35" i="5"/>
  <c r="J31" i="5"/>
  <c r="J45" i="5"/>
  <c r="J28" i="5"/>
  <c r="J43" i="5"/>
  <c r="J29" i="5"/>
  <c r="J47" i="5"/>
  <c r="J68" i="5"/>
  <c r="J54" i="5"/>
  <c r="J40" i="5"/>
  <c r="J70" i="5"/>
  <c r="J69" i="5"/>
  <c r="J41" i="5"/>
  <c r="J71" i="5"/>
  <c r="J33" i="5"/>
  <c r="J62" i="5"/>
  <c r="J64" i="5"/>
  <c r="J73" i="5"/>
  <c r="J56" i="5"/>
  <c r="J57" i="5"/>
  <c r="H41" i="28"/>
  <c r="B25" i="24" l="1"/>
  <c r="B24" i="24"/>
  <c r="J11" i="6"/>
  <c r="J13" i="6" s="1"/>
  <c r="J33" i="11"/>
  <c r="I32" i="11"/>
  <c r="I12" i="11" s="1"/>
  <c r="I17" i="11" s="1"/>
  <c r="I39" i="11" s="1"/>
  <c r="K33" i="11"/>
  <c r="J42" i="11"/>
  <c r="I43" i="11"/>
  <c r="K8" i="6"/>
  <c r="K9" i="6"/>
  <c r="K36" i="5"/>
  <c r="K116" i="5"/>
  <c r="K110" i="4"/>
  <c r="K91" i="4"/>
  <c r="K79" i="4"/>
  <c r="K60" i="5"/>
  <c r="K28" i="5"/>
  <c r="K52" i="5"/>
  <c r="K44" i="5"/>
  <c r="K63" i="5"/>
  <c r="K54" i="5"/>
  <c r="K29" i="5"/>
  <c r="K35" i="5"/>
  <c r="K47" i="5"/>
  <c r="K67" i="5"/>
  <c r="K39" i="5"/>
  <c r="K68" i="5"/>
  <c r="K55" i="5"/>
  <c r="K43" i="5"/>
  <c r="K30" i="5"/>
  <c r="K61" i="5"/>
  <c r="K31" i="5"/>
  <c r="K40" i="5"/>
  <c r="K70" i="5"/>
  <c r="K69" i="5"/>
  <c r="K41" i="5"/>
  <c r="K71" i="5"/>
  <c r="K45" i="5"/>
  <c r="K33" i="5"/>
  <c r="K62" i="5"/>
  <c r="K64" i="5"/>
  <c r="K73" i="5"/>
  <c r="K56" i="5"/>
  <c r="K57" i="5"/>
  <c r="K74" i="5"/>
  <c r="I41" i="28"/>
  <c r="J43" i="11" l="1"/>
  <c r="K42" i="11"/>
  <c r="K32" i="11"/>
  <c r="K12" i="11" s="1"/>
  <c r="K17" i="11" s="1"/>
  <c r="K39" i="11" s="1"/>
  <c r="K11" i="6"/>
  <c r="K13" i="6" s="1"/>
  <c r="J32" i="11"/>
  <c r="J12" i="11" s="1"/>
  <c r="J17" i="11" s="1"/>
  <c r="J39" i="11" s="1"/>
  <c r="J41" i="28"/>
  <c r="K43" i="11" l="1"/>
  <c r="K41" i="28"/>
  <c r="G12" i="11"/>
  <c r="G17" i="11" s="1"/>
  <c r="G39" i="11" s="1"/>
  <c r="G32" i="11"/>
  <c r="H33" i="11"/>
  <c r="H32" i="11"/>
  <c r="H12" i="11" s="1"/>
  <c r="H17" i="11" s="1"/>
  <c r="H39" i="11" s="1"/>
  <c r="G48" i="4"/>
  <c r="G113" i="5" s="1"/>
  <c r="G49" i="4"/>
  <c r="G105" i="4" s="1"/>
  <c r="G99" i="4" l="1"/>
  <c r="G50" i="4"/>
  <c r="G45" i="5" s="1"/>
  <c r="G114" i="5"/>
  <c r="G102" i="4"/>
  <c r="G44" i="5" l="1"/>
  <c r="G8" i="6"/>
  <c r="G91" i="4"/>
  <c r="G52" i="5"/>
  <c r="G61" i="5"/>
  <c r="G31" i="5"/>
  <c r="G39" i="5"/>
  <c r="G70" i="5"/>
  <c r="G41" i="5"/>
  <c r="G54" i="5"/>
  <c r="G56" i="5"/>
  <c r="G64" i="5"/>
  <c r="G43" i="5"/>
  <c r="G73" i="5"/>
  <c r="G67" i="5"/>
  <c r="G62" i="5"/>
  <c r="G35" i="5"/>
  <c r="G69" i="5"/>
  <c r="G60" i="5"/>
  <c r="G55" i="5"/>
  <c r="G116" i="5"/>
  <c r="G68" i="5"/>
  <c r="G63" i="5"/>
  <c r="G33" i="5"/>
  <c r="G71" i="5"/>
  <c r="G29" i="5"/>
  <c r="G40" i="5"/>
  <c r="G110" i="4"/>
  <c r="G9" i="6"/>
  <c r="G57" i="5"/>
  <c r="G47" i="5"/>
  <c r="G30" i="5"/>
  <c r="G28" i="5"/>
  <c r="G79" i="4"/>
  <c r="G42" i="11" s="1"/>
  <c r="G43" i="11" s="1"/>
  <c r="G74" i="5"/>
  <c r="G36" i="5"/>
  <c r="N8" i="6" l="1"/>
  <c r="O8" i="6"/>
  <c r="N9" i="6"/>
  <c r="O9" i="6"/>
  <c r="G11" i="6"/>
  <c r="G13" i="6" s="1"/>
</calcChain>
</file>

<file path=xl/connections.xml><?xml version="1.0" encoding="utf-8"?>
<connections xmlns="http://schemas.openxmlformats.org/spreadsheetml/2006/main">
  <connection id="1" keepAlive="1" name="Query - Page001" description="Connection to the 'Page001' query in the workbook." type="5" refreshedVersion="0" background="1">
    <dbPr connection="Provider=Microsoft.Mashup.OleDb.1;Data Source=$Workbook$;Location=Page001;Extended Properties=&quot;&quot;" command="SELECT * FROM [Page001]"/>
  </connection>
  <connection id="2" keepAlive="1" name="Query - Page001 (10)" description="Connection to the 'Page001 (10)' query in the workbook." type="5" refreshedVersion="0" background="1">
    <dbPr connection="Provider=Microsoft.Mashup.OleDb.1;Data Source=$Workbook$;Location=&quot;Page001 (10)&quot;;Extended Properties=&quot;&quot;" command="SELECT * FROM [Page001 (10)]"/>
  </connection>
  <connection id="3" keepAlive="1" name="Query - Page001 (11)" description="Connection to the 'Page001 (11)' query in the workbook." type="5" refreshedVersion="0" background="1">
    <dbPr connection="Provider=Microsoft.Mashup.OleDb.1;Data Source=$Workbook$;Location=&quot;Page001 (11)&quot;;Extended Properties=&quot;&quot;" command="SELECT * FROM [Page001 (11)]"/>
  </connection>
  <connection id="4" keepAlive="1" name="Query - Page001 (12)" description="Connection to the 'Page001 (12)' query in the workbook." type="5" refreshedVersion="0" background="1">
    <dbPr connection="Provider=Microsoft.Mashup.OleDb.1;Data Source=$Workbook$;Location=&quot;Page001 (12)&quot;;Extended Properties=&quot;&quot;" command="SELECT * FROM [Page001 (12)]"/>
  </connection>
  <connection id="5" keepAlive="1" name="Query - Page001 (13)" description="Connection to the 'Page001 (13)' query in the workbook." type="5" refreshedVersion="0" background="1">
    <dbPr connection="Provider=Microsoft.Mashup.OleDb.1;Data Source=$Workbook$;Location=&quot;Page001 (13)&quot;;Extended Properties=&quot;&quot;" command="SELECT * FROM [Page001 (13)]"/>
  </connection>
  <connection id="6" keepAlive="1" name="Query - Page001 (2)" description="Connection to the 'Page001 (2)' query in the workbook." type="5" refreshedVersion="0" background="1">
    <dbPr connection="Provider=Microsoft.Mashup.OleDb.1;Data Source=$Workbook$;Location=&quot;Page001 (2)&quot;;Extended Properties=&quot;&quot;" command="SELECT * FROM [Page001 (2)]"/>
  </connection>
  <connection id="7" keepAlive="1" name="Query - Page001 (3)" description="Connection to the 'Page001 (3)' query in the workbook." type="5" refreshedVersion="0" background="1">
    <dbPr connection="Provider=Microsoft.Mashup.OleDb.1;Data Source=$Workbook$;Location=&quot;Page001 (3)&quot;;Extended Properties=&quot;&quot;" command="SELECT * FROM [Page001 (3)]"/>
  </connection>
  <connection id="8" keepAlive="1" name="Query - Page001 (4)" description="Connection to the 'Page001 (4)' query in the workbook." type="5" refreshedVersion="0" background="1">
    <dbPr connection="Provider=Microsoft.Mashup.OleDb.1;Data Source=$Workbook$;Location=&quot;Page001 (4)&quot;;Extended Properties=&quot;&quot;" command="SELECT * FROM [Page001 (4)]"/>
  </connection>
  <connection id="9" keepAlive="1" name="Query - Page001 (5)" description="Connection to the 'Page001 (5)' query in the workbook." type="5" refreshedVersion="0" background="1">
    <dbPr connection="Provider=Microsoft.Mashup.OleDb.1;Data Source=$Workbook$;Location=&quot;Page001 (5)&quot;;Extended Properties=&quot;&quot;" command="SELECT * FROM [Page001 (5)]"/>
  </connection>
  <connection id="10" keepAlive="1" name="Query - Page001 (6)" description="Connection to the 'Page001 (6)' query in the workbook." type="5" refreshedVersion="0" background="1">
    <dbPr connection="Provider=Microsoft.Mashup.OleDb.1;Data Source=$Workbook$;Location=&quot;Page001 (6)&quot;;Extended Properties=&quot;&quot;" command="SELECT * FROM [Page001 (6)]"/>
  </connection>
  <connection id="11" keepAlive="1" name="Query - Page001 (7)" description="Connection to the 'Page001 (7)' query in the workbook." type="5" refreshedVersion="0" background="1">
    <dbPr connection="Provider=Microsoft.Mashup.OleDb.1;Data Source=$Workbook$;Location=&quot;Page001 (7)&quot;;Extended Properties=&quot;&quot;" command="SELECT * FROM [Page001 (7)]"/>
  </connection>
  <connection id="12" keepAlive="1" name="Query - Page001 (8)" description="Connection to the 'Page001 (8)' query in the workbook." type="5" refreshedVersion="0" background="1">
    <dbPr connection="Provider=Microsoft.Mashup.OleDb.1;Data Source=$Workbook$;Location=&quot;Page001 (8)&quot;;Extended Properties=&quot;&quot;" command="SELECT * FROM [Page001 (8)]"/>
  </connection>
  <connection id="13" keepAlive="1" name="Query - Page001 (9)" description="Connection to the 'Page001 (9)' query in the workbook." type="5" refreshedVersion="0" background="1">
    <dbPr connection="Provider=Microsoft.Mashup.OleDb.1;Data Source=$Workbook$;Location=&quot;Page001 (9)&quot;;Extended Properties=&quot;&quot;" command="SELECT * FROM [Page001 (9)]"/>
  </connection>
  <connection id="14" keepAlive="1" name="Query - Page002" description="Connection to the 'Page002' query in the workbook." type="5" refreshedVersion="0" background="1">
    <dbPr connection="Provider=Microsoft.Mashup.OleDb.1;Data Source=$Workbook$;Location=Page002;Extended Properties=&quot;&quot;" command="SELECT * FROM [Page002]"/>
  </connection>
  <connection id="15" keepAlive="1" name="Query - Page003" description="Connection to the 'Page003' query in the workbook." type="5" refreshedVersion="0" background="1">
    <dbPr connection="Provider=Microsoft.Mashup.OleDb.1;Data Source=$Workbook$;Location=Page003;Extended Properties=&quot;&quot;" command="SELECT * FROM [Page003]"/>
  </connection>
  <connection id="16" keepAlive="1" name="Query - Page003 (2)" description="Connection to the 'Page003 (2)' query in the workbook." type="5" refreshedVersion="0" background="1">
    <dbPr connection="Provider=Microsoft.Mashup.OleDb.1;Data Source=$Workbook$;Location=&quot;Page003 (2)&quot;;Extended Properties=&quot;&quot;" command="SELECT * FROM [Page003 (2)]"/>
  </connection>
  <connection id="17" keepAlive="1" name="Query - Page003 (3)" description="Connection to the 'Page003 (3)' query in the workbook." type="5" refreshedVersion="0" background="1">
    <dbPr connection="Provider=Microsoft.Mashup.OleDb.1;Data Source=$Workbook$;Location=&quot;Page003 (3)&quot;;Extended Properties=&quot;&quot;" command="SELECT * FROM [Page003 (3)]"/>
  </connection>
</connections>
</file>

<file path=xl/sharedStrings.xml><?xml version="1.0" encoding="utf-8"?>
<sst xmlns="http://schemas.openxmlformats.org/spreadsheetml/2006/main" count="2208" uniqueCount="666">
  <si>
    <t>Finance income</t>
  </si>
  <si>
    <t>Administrative expenses</t>
  </si>
  <si>
    <t>Profit before tax</t>
  </si>
  <si>
    <t>Profit for the year</t>
  </si>
  <si>
    <t>Dividend per Share (Rs.)</t>
  </si>
  <si>
    <t>Inventories</t>
  </si>
  <si>
    <t>Cash and cash equivalents</t>
  </si>
  <si>
    <t>Total assets</t>
  </si>
  <si>
    <t>EQUITY AND LIABILITIES</t>
  </si>
  <si>
    <t>ASSETS</t>
  </si>
  <si>
    <t>Trade and other payables</t>
  </si>
  <si>
    <t>Total liabilities</t>
  </si>
  <si>
    <t>Total equity and liabilities</t>
  </si>
  <si>
    <t xml:space="preserve">Earnings per share </t>
  </si>
  <si>
    <t>Basic Earnings per share (Rs.)</t>
  </si>
  <si>
    <t>Calculation of Accounting Ratios</t>
  </si>
  <si>
    <t>1.Profitability Ratios</t>
  </si>
  <si>
    <t>2.Liquidity Ratios</t>
  </si>
  <si>
    <t>5.Investor's Ratios</t>
  </si>
  <si>
    <t>2.1 Current ratio</t>
  </si>
  <si>
    <t>2.2 Quick ratio</t>
  </si>
  <si>
    <t>1.1 Gross profit margin</t>
  </si>
  <si>
    <t>[Gross profit/revenue]x100</t>
  </si>
  <si>
    <t>1.2 Operating profit margin</t>
  </si>
  <si>
    <t>[EBIT/revenue]x100</t>
  </si>
  <si>
    <t>1.4 Return on equity (ROE)</t>
  </si>
  <si>
    <t>3.2 Inventory turnover</t>
  </si>
  <si>
    <t xml:space="preserve">3.1 Asset turnover </t>
  </si>
  <si>
    <t>[inventory days+customer collectio period - supplier</t>
  </si>
  <si>
    <t>payable period]</t>
  </si>
  <si>
    <t>3.3 Debtors collection period</t>
  </si>
  <si>
    <t>3.4 Inventory holding period</t>
  </si>
  <si>
    <t>3.5 Creditors settlement period</t>
  </si>
  <si>
    <t>3.6 Operating cycle</t>
  </si>
  <si>
    <t>3.7 Cash conversion cycle</t>
  </si>
  <si>
    <t>[current assets/current liabilities]</t>
  </si>
  <si>
    <t>[cash and near cash/current liabilities]</t>
  </si>
  <si>
    <t>2.3 Net working capital</t>
  </si>
  <si>
    <t>[current assets - current liabilities]</t>
  </si>
  <si>
    <t>4.Solvency Ratios</t>
  </si>
  <si>
    <t>4.1 Gearing</t>
  </si>
  <si>
    <t>[total borrowings/net assets]</t>
  </si>
  <si>
    <t>4.2 Debt to equity ratio</t>
  </si>
  <si>
    <t>[Total liabilities/shareholders equity]</t>
  </si>
  <si>
    <t>4.3 Interest coverage</t>
  </si>
  <si>
    <t>5.1 Earnings per share (EPS)</t>
  </si>
  <si>
    <t>5.2 Price-earnings ratio (P/E ratio)</t>
  </si>
  <si>
    <t>5.3 Dividend yield</t>
  </si>
  <si>
    <t>5.4 Dividend payout ratio</t>
  </si>
  <si>
    <t>[inventory days +customer collection period]</t>
  </si>
  <si>
    <t>[Net profit after tax/ shareholder equity]</t>
  </si>
  <si>
    <t>[sales/total assets]</t>
  </si>
  <si>
    <t>[cost of goods sold/inventory value]</t>
  </si>
  <si>
    <t>[trade receivables/sales]x365</t>
  </si>
  <si>
    <t>[ inventory/cost 0f goods sold]x365</t>
  </si>
  <si>
    <t>[trade payables/cost of goods sold]x365</t>
  </si>
  <si>
    <t>5.5 Dividend per share</t>
  </si>
  <si>
    <t>[dividend/no.of ordinary shares]</t>
  </si>
  <si>
    <t>[EBIT/total assets]</t>
  </si>
  <si>
    <t>Stated capital</t>
  </si>
  <si>
    <t>3.Efficiency Ratios (Activity Ratio)</t>
  </si>
  <si>
    <t>1.3 Return on assets (ROA)</t>
  </si>
  <si>
    <t>[dividends/net income]or [dividend Per Share/EPS]</t>
  </si>
  <si>
    <t>Statement of Profit or Loss</t>
  </si>
  <si>
    <t>Revenue from contracts with customers</t>
  </si>
  <si>
    <t>Cost of sales</t>
  </si>
  <si>
    <t>Gross profit</t>
  </si>
  <si>
    <t>Other operating income - net</t>
  </si>
  <si>
    <t>Distribution expenses</t>
  </si>
  <si>
    <t>Net impairment (loss)/gain on financial assets</t>
  </si>
  <si>
    <t>Operating profit</t>
  </si>
  <si>
    <t>Finance expense</t>
  </si>
  <si>
    <t>Net finance income</t>
  </si>
  <si>
    <t>Income tax expense</t>
  </si>
  <si>
    <t>Teejay Lanka PLC</t>
  </si>
  <si>
    <t>Statement of Financial Position</t>
  </si>
  <si>
    <t>Non-current assets</t>
  </si>
  <si>
    <t>Property, plant and equipment</t>
  </si>
  <si>
    <t>Intangible assets</t>
  </si>
  <si>
    <t>Right-of-use assets</t>
  </si>
  <si>
    <t>Capital work-in-progress</t>
  </si>
  <si>
    <t>Investments in subsidiaries</t>
  </si>
  <si>
    <t>Nil</t>
  </si>
  <si>
    <t>Deferred tax assets</t>
  </si>
  <si>
    <t>Goodwill</t>
  </si>
  <si>
    <t>Current assets</t>
  </si>
  <si>
    <t>Trade and other receivables</t>
  </si>
  <si>
    <t>Current tax receivables</t>
  </si>
  <si>
    <t>Capital and reserves</t>
  </si>
  <si>
    <t>Exchange equalisation reserve</t>
  </si>
  <si>
    <t>Share option scheme</t>
  </si>
  <si>
    <t>Retained earnings</t>
  </si>
  <si>
    <t>Non-current liabilities</t>
  </si>
  <si>
    <t>Interest bearing borrowings</t>
  </si>
  <si>
    <t>Lease liabilities</t>
  </si>
  <si>
    <t>Deferred tax liabilities</t>
  </si>
  <si>
    <t>Retirement benefit obligations</t>
  </si>
  <si>
    <t>Current liabilities</t>
  </si>
  <si>
    <t>Current tax liabilities</t>
  </si>
  <si>
    <t>Lease rentals paid in advance</t>
  </si>
  <si>
    <t>Hedging reserve</t>
  </si>
  <si>
    <t>Nill</t>
  </si>
  <si>
    <t>Derivative financial instruments</t>
  </si>
  <si>
    <t>Other financial assets (Short term deposits)</t>
  </si>
  <si>
    <t>[EBIT/interest expense]</t>
  </si>
  <si>
    <t>Profit attributable to equity holders of the Company</t>
  </si>
  <si>
    <t>Weighted average number of ordinary shares</t>
  </si>
  <si>
    <t>Basic earnings per share</t>
  </si>
  <si>
    <t>[earnings attributable to ordinary share holders/No,of ordinary shares]</t>
  </si>
  <si>
    <t>Market value per share (closing)</t>
  </si>
  <si>
    <t>[Dividend per ordinary share/current market price ]</t>
  </si>
  <si>
    <t>[market price per ordinary share/earnings per ordinary share]</t>
  </si>
  <si>
    <t>Vertical Analysis</t>
  </si>
  <si>
    <t>Total Current liabilities</t>
  </si>
  <si>
    <t>Total Non-current liabilities</t>
  </si>
  <si>
    <t>Total Capital and reserves</t>
  </si>
  <si>
    <t>Total Current assets</t>
  </si>
  <si>
    <t>Total Non-current assets</t>
  </si>
  <si>
    <t>Dupont Analysis</t>
  </si>
  <si>
    <t>ROE</t>
  </si>
  <si>
    <t>Tax burden(NI/EBT)</t>
  </si>
  <si>
    <t>Interest burden (EBT/EBIT)</t>
  </si>
  <si>
    <t>EBIT margin(EBIT/SALES)</t>
  </si>
  <si>
    <t>Asset use efficiency (SALES/ASSETS)</t>
  </si>
  <si>
    <t>Financial  Leverage(ASSETS/EQUITY)</t>
  </si>
  <si>
    <t>ROE(Net income/ Total Equity)</t>
  </si>
  <si>
    <t>Horizontal Analysis</t>
  </si>
  <si>
    <t>Net finance income/(cost)</t>
  </si>
  <si>
    <t>Differece</t>
  </si>
  <si>
    <t>Total NCA</t>
  </si>
  <si>
    <t>Total CA</t>
  </si>
  <si>
    <t>Total NCL</t>
  </si>
  <si>
    <t>Operating profit (EBIT)</t>
  </si>
  <si>
    <t>Profit before tax (EBT)</t>
  </si>
  <si>
    <t>Tax burden</t>
  </si>
  <si>
    <t xml:space="preserve">Interest burden </t>
  </si>
  <si>
    <t>EBIT margin</t>
  </si>
  <si>
    <t xml:space="preserve">Asset use efficiency </t>
  </si>
  <si>
    <t>Financial  Leverage</t>
  </si>
  <si>
    <t xml:space="preserve">Teejay Lanka PLC </t>
  </si>
  <si>
    <t xml:space="preserve">Textile Manufacturing </t>
  </si>
  <si>
    <t>Fabric Printing</t>
  </si>
  <si>
    <t xml:space="preserve">Total Adjusted EBITDA </t>
  </si>
  <si>
    <t>segment revenue</t>
  </si>
  <si>
    <t>Textile manufacturing-sl</t>
  </si>
  <si>
    <t xml:space="preserve">Textile manufacturing - ind </t>
  </si>
  <si>
    <t xml:space="preserve">Fabric Printing-sl </t>
  </si>
  <si>
    <t>Fabric Printing-ind</t>
  </si>
  <si>
    <t xml:space="preserve">Revenue from Reigons </t>
  </si>
  <si>
    <t xml:space="preserve">US Market </t>
  </si>
  <si>
    <t xml:space="preserve">European Market </t>
  </si>
  <si>
    <t>Asian Market</t>
  </si>
  <si>
    <t>Statement of Cash Flows</t>
  </si>
  <si>
    <t>Cash flows from operating activities</t>
  </si>
  <si>
    <t>Cash generated from operations</t>
  </si>
  <si>
    <t>Finance income received</t>
  </si>
  <si>
    <t>Finance cost paid</t>
  </si>
  <si>
    <t>Tax paid</t>
  </si>
  <si>
    <t>Net cash generated from operating activities</t>
  </si>
  <si>
    <t>Net cash generated / (used in) from investing activities</t>
  </si>
  <si>
    <t>Cash flows from financing activities</t>
  </si>
  <si>
    <t>Dividend paid</t>
  </si>
  <si>
    <t>Settlement of borrowings</t>
  </si>
  <si>
    <t>Net cash used in financing activities</t>
  </si>
  <si>
    <t>Net increase in cash and cash equivalents</t>
  </si>
  <si>
    <t>Cash and cash equivalents at beginning of year</t>
  </si>
  <si>
    <t>Cash and cash equivalents at end of year</t>
  </si>
  <si>
    <t>Retirement benefit obligations paid</t>
  </si>
  <si>
    <t xml:space="preserve">Cash flows from investing activities
</t>
  </si>
  <si>
    <t>Net increase in investments in financial assets</t>
  </si>
  <si>
    <t>Proceeds from sales of property, plant and equipmets</t>
  </si>
  <si>
    <t xml:space="preserve">
Nil</t>
  </si>
  <si>
    <t>Proceeds received from bank borrowings</t>
  </si>
  <si>
    <t>Proceeds from the repurchase of shares by a subsidary</t>
  </si>
  <si>
    <t>Principal elements of lease payments</t>
  </si>
  <si>
    <t>Cash Balance as per SOFP</t>
  </si>
  <si>
    <t>Difference</t>
  </si>
  <si>
    <t>Additions or expenses incurred on capital work-in-progress</t>
  </si>
  <si>
    <t>Poceeds from Issue of shares</t>
  </si>
  <si>
    <t>Settlement of related party borrowings</t>
  </si>
  <si>
    <t>Net (decrease) / increase in cash and cash equivalents</t>
  </si>
  <si>
    <t>Total</t>
  </si>
  <si>
    <t>At 31 March 2020</t>
  </si>
  <si>
    <t>Cost</t>
  </si>
  <si>
    <t>Accumulated depreciation</t>
  </si>
  <si>
    <t>Net book amount</t>
  </si>
  <si>
    <t>Year ended 31 March 2021</t>
  </si>
  <si>
    <t>Opening net book value</t>
  </si>
  <si>
    <t>Transfers from capital work-in-</t>
  </si>
  <si>
    <t>progress (Note 16)</t>
  </si>
  <si>
    <t>Disposals- cost</t>
  </si>
  <si>
    <t>Disposals - accumulated</t>
  </si>
  <si>
    <t>depreciation</t>
  </si>
  <si>
    <t>Effect of change in foreign</t>
  </si>
  <si>
    <t>exchange rates</t>
  </si>
  <si>
    <t>Depreciation charge (Note 8)</t>
  </si>
  <si>
    <t>Closing net book amount</t>
  </si>
  <si>
    <t>At 31 March 2021</t>
  </si>
  <si>
    <t>Year ended 31 March 2022</t>
  </si>
  <si>
    <t>At 31 March 2022</t>
  </si>
  <si>
    <t>Buildings on leasehold lands</t>
  </si>
  <si>
    <t>Office equipment</t>
  </si>
  <si>
    <t>Computer &amp; communication equipment</t>
  </si>
  <si>
    <t>Motor vehicles</t>
  </si>
  <si>
    <t>Net Book Value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</si>
  <si>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</si>
  <si>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</si>
  <si>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</si>
  <si>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</si>
  <si>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</si>
  <si>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</si>
  <si>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</si>
  <si>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</si>
  <si>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</si>
  <si>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</si>
  <si>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STANDING THE TEST OF TIME</t>
  </si>
  <si>
    <t>l</t>
  </si>
  <si>
    <t>105</t>
  </si>
  <si>
    <t>PROPERTY, PLANT AND EQUIPMENT</t>
  </si>
  <si>
    <t>Group</t>
  </si>
  <si>
    <t>Buildings on</t>
  </si>
  <si>
    <t>Plant,</t>
  </si>
  <si>
    <t>Fixtures,</t>
  </si>
  <si>
    <t>Office</t>
  </si>
  <si>
    <t>Computer &amp;</t>
  </si>
  <si>
    <t>Motor</t>
  </si>
  <si>
    <t>leasehold</t>
  </si>
  <si>
    <t>machinery &amp;</t>
  </si>
  <si>
    <t>fittings</t>
  </si>
  <si>
    <t>equipment</t>
  </si>
  <si>
    <t>communication</t>
  </si>
  <si>
    <t>vehicles</t>
  </si>
  <si>
    <t>lands</t>
  </si>
  <si>
    <t>&amp; factory</t>
  </si>
  <si>
    <t>installation</t>
  </si>
  <si>
    <t>At 1 April 2018</t>
  </si>
  <si>
    <t>Year ended 31 March 2019</t>
  </si>
  <si>
    <t>Transfers from capital work-in-progress (Note 16)</t>
  </si>
  <si>
    <t>Disposals - cost</t>
  </si>
  <si>
    <t>- accumulated depreciation</t>
  </si>
  <si>
    <t>Transferred to intangible assets
(Note 17) - cost</t>
  </si>
  <si>
    <t>Effect of change in foreign exchange
rates</t>
  </si>
  <si>
    <t>At 31 March 2019</t>
  </si>
  <si>
    <t>Year ended 31 March 2020</t>
  </si>
  <si>
    <t>2I½FH</t>
  </si>
  <si>
    <t>½WWLQJV_x0003_</t>
  </si>
  <si>
    <t>land</t>
  </si>
  <si>
    <t>At 1 April 2016</t>
  </si>
  <si>
    <t>Year ended 31 March 2017</t>
  </si>
  <si>
    <t>Disposals</t>
  </si>
  <si>
    <t>-</t>
  </si>
  <si>
    <t>cost</t>
  </si>
  <si>
    <t>accumulated depreciation</t>
  </si>
  <si>
    <t>Adjustments</t>
  </si>
  <si>
    <t>Effect of change in foreign exchange rates</t>
  </si>
  <si>
    <t>At 31 March 2017</t>
  </si>
  <si>
    <t>Year ended 31 March 2018</t>
  </si>
  <si>
    <t>- cost</t>
  </si>
  <si>
    <t>At 31 March 2018</t>
  </si>
  <si>
    <t xml:space="preserve">Transfers from capital work-in-progress </t>
  </si>
  <si>
    <t xml:space="preserve">         cost</t>
  </si>
  <si>
    <t xml:space="preserve">         accumulated depreciation</t>
  </si>
  <si>
    <t xml:space="preserve">Depreciation charge </t>
  </si>
  <si>
    <t>At 31 March</t>
  </si>
  <si>
    <t xml:space="preserve">       Cost</t>
  </si>
  <si>
    <t xml:space="preserve">        Accumulated depreciation</t>
  </si>
  <si>
    <t>Plant, machinery &amp; equipment</t>
  </si>
  <si>
    <t xml:space="preserve">        cost</t>
  </si>
  <si>
    <t>Fixtures, fittings  &amp; factory equipment</t>
  </si>
  <si>
    <t>Transferred to intangible assets</t>
  </si>
  <si>
    <t>Historical years</t>
  </si>
  <si>
    <t>Implicit forecasts</t>
  </si>
  <si>
    <t>EBIT*(1-Tax)</t>
  </si>
  <si>
    <t>Net Capital Expenditure</t>
  </si>
  <si>
    <t>FCFF</t>
  </si>
  <si>
    <t xml:space="preserve">Dividend </t>
  </si>
  <si>
    <t>DPS</t>
  </si>
  <si>
    <t>Risk Free Rate</t>
  </si>
  <si>
    <t>Beta</t>
  </si>
  <si>
    <t>Amortization</t>
  </si>
  <si>
    <t>Amortisation of intangible assets</t>
  </si>
  <si>
    <t>Amortisation of lease rentals paid in advance</t>
  </si>
  <si>
    <t>Tax calculated at effective tax rate of Group</t>
  </si>
  <si>
    <t>Non cash Items</t>
  </si>
  <si>
    <t>Sales(Mn)</t>
  </si>
  <si>
    <t>Total Estimated Revenue</t>
  </si>
  <si>
    <t>Revenue Growth</t>
  </si>
  <si>
    <t>Revenue</t>
  </si>
  <si>
    <t xml:space="preserve">Distribution expenses as a % of revenue </t>
  </si>
  <si>
    <t>g=Retaintion ratio x ROE</t>
  </si>
  <si>
    <t>Retaintion ratio = [1-payout ratio]</t>
  </si>
  <si>
    <t>Cost of sales as a % of  revenue</t>
  </si>
  <si>
    <t>Sales growth</t>
  </si>
  <si>
    <t xml:space="preserve">Administrative expenses as a % of revenue </t>
  </si>
  <si>
    <t>Finance inome expense</t>
  </si>
  <si>
    <t xml:space="preserve">Net Other operating income </t>
  </si>
  <si>
    <t>Net Other operating income  as a % of  revenue</t>
  </si>
  <si>
    <t>Income not subject to tax</t>
  </si>
  <si>
    <t>Expenses not deductible for tax purposes</t>
  </si>
  <si>
    <t>Impact on additional allowable expenses</t>
  </si>
  <si>
    <t>(Over) / Under provision for income tax in respectyears</t>
  </si>
  <si>
    <t>Net tax effect of unrecognised tax losses for prior years</t>
  </si>
  <si>
    <t>Tax losses for which no deferred tax assets was recognised</t>
  </si>
  <si>
    <t>Recognition of previously unrecognised tax losses</t>
  </si>
  <si>
    <t>Adjustments due to the change of estimated deferred tax base in previous years</t>
  </si>
  <si>
    <t>Withholding tax on intercompany dividend</t>
  </si>
  <si>
    <t>Tax charge</t>
  </si>
  <si>
    <t>Income not subject to tax  as a % of  revenue</t>
  </si>
  <si>
    <t>Expenses not deductible for tax purposes as a % of  revenue</t>
  </si>
  <si>
    <t>Impact on additional allowable expenses  as a % of  revenue</t>
  </si>
  <si>
    <t>(Over) / Under provision for income tax in respectyears  as a % of  revenue</t>
  </si>
  <si>
    <t>Adjustments due to the change of estimated deferred tax base in previous yearsas a % of  revenue</t>
  </si>
  <si>
    <t>Finance income:</t>
  </si>
  <si>
    <t>Net foreign transaction and translation gains</t>
  </si>
  <si>
    <t>Interest income on short term deposits</t>
  </si>
  <si>
    <t>Total finance income</t>
  </si>
  <si>
    <t>Finance costs:</t>
  </si>
  <si>
    <t>Net foreign transaction and translation losses</t>
  </si>
  <si>
    <t>Interest expense</t>
  </si>
  <si>
    <t>bank overdrafts</t>
  </si>
  <si>
    <t>short term bank borrowings</t>
  </si>
  <si>
    <t>related company borrowings</t>
  </si>
  <si>
    <t>Interest charge on lease liabilities</t>
  </si>
  <si>
    <t>long term bank borrowings</t>
  </si>
  <si>
    <t>Total finance cost</t>
  </si>
  <si>
    <t>Net foreign transaction and translation gains as a % of  revenue</t>
  </si>
  <si>
    <t>Adjusted Net foreign transaction and translation gains</t>
  </si>
  <si>
    <t>INVENTORIES</t>
  </si>
  <si>
    <t>cost of sales</t>
  </si>
  <si>
    <t>Raw materials</t>
  </si>
  <si>
    <t>Raw materials as a % of cost of sales</t>
  </si>
  <si>
    <t>Work-in-progress</t>
  </si>
  <si>
    <t>Finished goods</t>
  </si>
  <si>
    <t>Engineering spares, needles and sinkers</t>
  </si>
  <si>
    <t>Emgineering spares,needles and sinkers as a % of cost of sales</t>
  </si>
  <si>
    <t>Effluent chemicals, fuel and consumables</t>
  </si>
  <si>
    <t>Effluent chemicals, fuel and consumables as a % of cost of sales</t>
  </si>
  <si>
    <t>Goods in transit</t>
  </si>
  <si>
    <t>Goods in transit as a % of cost of sales</t>
  </si>
  <si>
    <t>work-in-progress as a % of cost of sales</t>
  </si>
  <si>
    <t>Finished goods as a % of cost of sales</t>
  </si>
  <si>
    <t xml:space="preserve">Tax </t>
  </si>
  <si>
    <t>Finance income &amp; Finance costs</t>
  </si>
  <si>
    <t>Between 1 - 2 years</t>
  </si>
  <si>
    <t>Between 2 - 5 years</t>
  </si>
  <si>
    <t>Current</t>
  </si>
  <si>
    <t>Bank overdrafts</t>
  </si>
  <si>
    <t>Short-term bank borrowings</t>
  </si>
  <si>
    <t>Borrowing from related companies</t>
  </si>
  <si>
    <t>Non-current</t>
  </si>
  <si>
    <t>Weighted average effective int rates</t>
  </si>
  <si>
    <t>Borrowings from related companies</t>
  </si>
  <si>
    <t>Bank borrowings</t>
  </si>
  <si>
    <t>LIBOR + 1.35% - 2.25%</t>
  </si>
  <si>
    <t>LIBOR + 1.25%</t>
  </si>
  <si>
    <t>Buyers credit from bank</t>
  </si>
  <si>
    <t>LIBOR + 2.25% -3.25%</t>
  </si>
  <si>
    <t>LIBOR + 2.5%</t>
  </si>
  <si>
    <t>Assumption</t>
  </si>
  <si>
    <t>; the company will not be taking any Non-current borrowings for next 5 years</t>
  </si>
  <si>
    <t>; the company will not be taking  any Short-term bank borrowings  for next 5 years</t>
  </si>
  <si>
    <t>Settlement of borrowings (based on CF)</t>
  </si>
  <si>
    <t>;Buyers credit from bank will be paid of in next 5 years evenly</t>
  </si>
  <si>
    <t>Total Non-current</t>
  </si>
  <si>
    <t>;Short-term bank borrowings &amp;  Between 2 - 5 years Will be paid of evenly</t>
  </si>
  <si>
    <t>% of CL</t>
  </si>
  <si>
    <t>% NCL</t>
  </si>
  <si>
    <t>Total current</t>
  </si>
  <si>
    <t>%Total</t>
  </si>
  <si>
    <t>Long term bank borrowings</t>
  </si>
  <si>
    <t>Finance Expence</t>
  </si>
  <si>
    <t>; The bank borrowing interest rates of 2022 will be continue as a constant for next 5  year</t>
  </si>
  <si>
    <t>Average of interset rates</t>
  </si>
  <si>
    <t>CAPITAL WORK-IN-PROGRESS</t>
  </si>
  <si>
    <t>Balance at beginning of the year</t>
  </si>
  <si>
    <t>Expenses incurred</t>
  </si>
  <si>
    <t>INTANGIBLE ASSETS</t>
  </si>
  <si>
    <t>Computer
software</t>
  </si>
  <si>
    <t>Opening net book amount</t>
  </si>
  <si>
    <t>Accumulated amortisation</t>
  </si>
  <si>
    <t>Transferred from property plant and equipment</t>
  </si>
  <si>
    <t xml:space="preserve">Total Transfers from capital work-in-progress </t>
  </si>
  <si>
    <t>Year ended 31 March 2023</t>
  </si>
  <si>
    <t>At 31 March2023</t>
  </si>
  <si>
    <t>Year ended 31 March 2024</t>
  </si>
  <si>
    <t>At 31 March 2024</t>
  </si>
  <si>
    <t>Year ended 31 March 2025</t>
  </si>
  <si>
    <t>At 31 March2025</t>
  </si>
  <si>
    <t>Year ended 31 March 2026</t>
  </si>
  <si>
    <t>Year ended 31 March2027</t>
  </si>
  <si>
    <t>At 31 March 2026</t>
  </si>
  <si>
    <t>At 31 March 2027</t>
  </si>
  <si>
    <t>;Disposals, Adjustments &amp; Transferred to intangible assets will not be occurred within next 5 year period</t>
  </si>
  <si>
    <t>; since the Effect of change in foreign exchange rates are abnormal in 2022, the we are taking 2018-2021 average as 2022 Effect of change in foreign exchange rates.</t>
  </si>
  <si>
    <t>; the prediction for the next 5 years based on the RMA of Effect of change in foreign exchange rates</t>
  </si>
  <si>
    <t>Effect of change in foreign exchange rates adjusted</t>
  </si>
  <si>
    <t>Depreciation is calculated using the straight line method to allocate the cost of each asset, to their residual valuesover their estimated useful lives commencing from</t>
  </si>
  <si>
    <t>over their estimated useful lives commencing from the date of acquisition, date available for use or date of commencement of use. On disposal of assets depreciation</t>
  </si>
  <si>
    <t>is calculated exclusive of the date on which disposal takes place. The estimated useful lives of property, plant and</t>
  </si>
  <si>
    <t>the estimated useful lifes of PPE</t>
  </si>
  <si>
    <t>Buildings on leasehold land</t>
  </si>
  <si>
    <t xml:space="preserve"> 23 to 50 years</t>
  </si>
  <si>
    <t xml:space="preserve"> 03 to 10 years</t>
  </si>
  <si>
    <t xml:space="preserve"> 4 to 08 years</t>
  </si>
  <si>
    <t>Depreciation charge as a %</t>
  </si>
  <si>
    <t xml:space="preserve">Adjusted Transfers from capital work-in-progress </t>
  </si>
  <si>
    <t xml:space="preserve">Adjusted Effect of change in foreign exchange rates </t>
  </si>
  <si>
    <t>; Transfers from capital work-in-progress is calculated using MA, but the year 2022 was omitted due to unusual fluctuations</t>
  </si>
  <si>
    <t>; Transfers from capital work-in-progress of Motor vehicles will not be occurred</t>
  </si>
  <si>
    <t>ASSUMPTIONS</t>
  </si>
  <si>
    <t>Amortisation of lease rentals paid in advance will not be occoured next 5 years</t>
  </si>
  <si>
    <t>Amortisation of intangible assets predicted using MA</t>
  </si>
  <si>
    <t>Adjusted Effect of change in foreign exchange rates</t>
  </si>
  <si>
    <t xml:space="preserve">Balance at end of the year </t>
  </si>
  <si>
    <t xml:space="preserve">Transferred to intangible assets </t>
  </si>
  <si>
    <t>Transferred to property, plant and equipment</t>
  </si>
  <si>
    <t>Transferred to intangible assets  will be taking as MA</t>
  </si>
  <si>
    <t xml:space="preserve">Transferred from capital work-in-progress </t>
  </si>
  <si>
    <t>As a % of total</t>
  </si>
  <si>
    <t>Amortisation charge</t>
  </si>
  <si>
    <t>Transferred to intangible assets for goodwill will not be occurred</t>
  </si>
  <si>
    <t>Amortisation charge for goodwill will not be occurred</t>
  </si>
  <si>
    <t>Since the Effect of change in foreign exchange rates of 2022 figure is unusual, the 2022 figure took as an average of past 4 years</t>
  </si>
  <si>
    <t>Adjusted Total</t>
  </si>
  <si>
    <t>Effect of change in foreign exchange rates is taken as an MA of previous years</t>
  </si>
  <si>
    <t>Intangible assets will not be transfer to the PPE within next 5 years</t>
  </si>
  <si>
    <t xml:space="preserve">Assumptions of intangible assets </t>
  </si>
  <si>
    <t>Assumptions  of PPE and capital working progress</t>
  </si>
  <si>
    <t>Adjusted Expenses incurred</t>
  </si>
  <si>
    <t>; Expenses incurred in capital working progress will be taking as a MA</t>
  </si>
  <si>
    <t>; since the figure Expenses incurred in capital working progress in 2022 is an unusual figure, 2022 figure will be talk as a MA of previous years</t>
  </si>
  <si>
    <t>Trade and other receivables predicted as a presntage of sales</t>
  </si>
  <si>
    <t>Sales</t>
  </si>
  <si>
    <t>Trade and other receivables as a % of sales</t>
  </si>
  <si>
    <t>Since the 2022 has a unusual figure of Trade and other receivables,  2022 figure will be talk as a MA of previous years</t>
  </si>
  <si>
    <t>Retirement benefit obligations predicted using MA</t>
  </si>
  <si>
    <t>Trade and other payables predicted as a percentage of Cost of sales</t>
  </si>
  <si>
    <t>Trade and other payables as a % of cost of sales</t>
  </si>
  <si>
    <t>Derivative financial instruments will not be occourred within next 5 years</t>
  </si>
  <si>
    <t>Other financial assets</t>
  </si>
  <si>
    <t xml:space="preserve"> Short term deposits</t>
  </si>
  <si>
    <t>Other financial assets predicted using MA</t>
  </si>
  <si>
    <t>Interest</t>
  </si>
  <si>
    <t>Weighted average interest rates</t>
  </si>
  <si>
    <t>Opening balance</t>
  </si>
  <si>
    <t>Issue of ordinary shares related to share option scheme</t>
  </si>
  <si>
    <t>Share issued under employee share option scheme</t>
  </si>
  <si>
    <t>Closing Balance</t>
  </si>
  <si>
    <t>Other comprehensive income for the year</t>
  </si>
  <si>
    <t>Total comprehensive income for the year</t>
  </si>
  <si>
    <t>Final dividend paid</t>
  </si>
  <si>
    <t>Interim dividend paid</t>
  </si>
  <si>
    <t>Total dividend</t>
  </si>
  <si>
    <t>Assumptions</t>
  </si>
  <si>
    <t>Hedging Reserve</t>
  </si>
  <si>
    <t>Hedging Reserve Will not be increase within next 5 years</t>
  </si>
  <si>
    <t>Share option scheme predicted using MA</t>
  </si>
  <si>
    <t>Equity shares will not be issued within next 5 years</t>
  </si>
  <si>
    <t>Other comprehensive income for the year predicted using MA</t>
  </si>
  <si>
    <t>Transactions with owners</t>
  </si>
  <si>
    <t>Interim dividend paid As a % of total dividend paid</t>
  </si>
  <si>
    <t>Final dividend paid As a % of total dividend paid</t>
  </si>
  <si>
    <t>Final dividend &amp; Interim dividend  will be paid as the 2022 Dividend paid ratio</t>
  </si>
  <si>
    <t>Current tax receivables &amp; Current tax liabilities</t>
  </si>
  <si>
    <t>EBT</t>
  </si>
  <si>
    <t>Current tax receivables &amp; Current tax liabilities  predicted as a % of EBT</t>
  </si>
  <si>
    <t>Since the 2022 has a unusual figure of Current tax liabilities,  2022 figure will be taken as a MA of previous years</t>
  </si>
  <si>
    <t>Since the 2022 has a unusual figure of Trade and other payables,  2022 figure will be taken as a MA of previous years</t>
  </si>
  <si>
    <t>Total Depreciation</t>
  </si>
  <si>
    <t>(+)Depreciation</t>
  </si>
  <si>
    <t>Total Amortization</t>
  </si>
  <si>
    <t>(+)/(-) Investment in Working Capital</t>
  </si>
  <si>
    <t>NWC</t>
  </si>
  <si>
    <t>Change in WC</t>
  </si>
  <si>
    <t>Deferred Tax</t>
  </si>
  <si>
    <t>Deferred income taxes are calculated on all temporary differences under the liability method and are measured using a tax rate of 14%</t>
  </si>
  <si>
    <t>Deferred tax charged to statement of comprehensive income assumed 2% for projections</t>
  </si>
  <si>
    <t>All the deferred tax assets are assumed as deferred tax assets to be recovered after more than 12 months</t>
  </si>
  <si>
    <t>Transfers to deferred tax assets are assumed not to occur</t>
  </si>
  <si>
    <t>At the beginning of the year</t>
  </si>
  <si>
    <t>Charged to statement of comprehensive income</t>
  </si>
  <si>
    <t>As a % of net profit</t>
  </si>
  <si>
    <t>Effect of change in foreign exchange rates standardised</t>
  </si>
  <si>
    <t>Tax charged relating to components of other comprehensive income</t>
  </si>
  <si>
    <t>At end of the year</t>
  </si>
  <si>
    <t>As a % of net deferred tax</t>
  </si>
  <si>
    <t>Deferred tax liabilities (net)</t>
  </si>
  <si>
    <t>Deferred tax assets to be recovered after more than 12 months</t>
  </si>
  <si>
    <t>Deferred tax liabilities to be recovered aftermore than 12 months</t>
  </si>
  <si>
    <t>As a % of deferred tax liabilities</t>
  </si>
  <si>
    <t>Deferred tax liabilities to be recovered within 12 months</t>
  </si>
  <si>
    <t>Transfer to deferred tax assets</t>
  </si>
  <si>
    <t>Charged to income statement</t>
  </si>
  <si>
    <t>Closing balance</t>
  </si>
  <si>
    <t>Check</t>
  </si>
  <si>
    <t>Re-classification from deferred tax liability</t>
  </si>
  <si>
    <t>Credited to income statement</t>
  </si>
  <si>
    <t>As a % of charged to income statement</t>
  </si>
  <si>
    <t>As a % of credited to income statement standardised</t>
  </si>
  <si>
    <t>As a % of effect of change in foreign exchange rates</t>
  </si>
  <si>
    <t>As a % of efffect of change in foreign exchange rates standardised</t>
  </si>
  <si>
    <t>Charged directly to other comprehensive income</t>
  </si>
  <si>
    <t>As a % of total charged directly to other comprehensive income</t>
  </si>
  <si>
    <t>Provision for impairment of inventory</t>
  </si>
  <si>
    <t>As a % of charged to income statement standardised</t>
  </si>
  <si>
    <t>Provision for impairment trade receivables</t>
  </si>
  <si>
    <t>Tax losses</t>
  </si>
  <si>
    <t>Provision for bonus</t>
  </si>
  <si>
    <t>As a % of deferred tax assets</t>
  </si>
  <si>
    <t>;The ratio between Short-term bank borrowing &amp; Non-current borrowings for next 5 years will be as 2022 for the next 5 years</t>
  </si>
  <si>
    <t>NIL</t>
  </si>
  <si>
    <t>Right of use Asset</t>
  </si>
  <si>
    <t>Tax paid took as a % of sales</t>
  </si>
  <si>
    <t>tax paid</t>
  </si>
  <si>
    <t>Industry growth %</t>
  </si>
  <si>
    <t>2017sales</t>
  </si>
  <si>
    <t>Non-Current  Lease Liabilities as a % of total lease liabilities</t>
  </si>
  <si>
    <t>Current Lease Liabilities as a % of total lease liabilities</t>
  </si>
  <si>
    <t>Prepayments</t>
  </si>
  <si>
    <t>Transferred from lease rentals paid in advance</t>
  </si>
  <si>
    <t>Depreciation charged during the year</t>
  </si>
  <si>
    <t>Interest charged during the year</t>
  </si>
  <si>
    <t>Rentals paid during the year</t>
  </si>
  <si>
    <t>Lease liability recognised as at 31 March 2020</t>
  </si>
  <si>
    <t>Right-of-use asset recognised</t>
  </si>
  <si>
    <t>Current lease liabilities</t>
  </si>
  <si>
    <t>Non-current lease liabilities</t>
  </si>
  <si>
    <t>Additions made during the year - Land and buildings</t>
  </si>
  <si>
    <t>Interest charge as a % of total lease payable at the beginning of the year</t>
  </si>
  <si>
    <t>Lease liability recognised  at the beginning of the year</t>
  </si>
  <si>
    <t>Rentals paid during the year  as a % of total lease payable at the beginning of the year</t>
  </si>
  <si>
    <t>Adjusted Effect of change in foreign exchange rates  as a % of total lease payable at the beginning of the year</t>
  </si>
  <si>
    <t xml:space="preserve">Taken from investing.com </t>
  </si>
  <si>
    <t>Cost of debt</t>
  </si>
  <si>
    <t>Effective tax rate</t>
  </si>
  <si>
    <t>Cost of debt*(1-T)</t>
  </si>
  <si>
    <t>Cost of equity calculation</t>
  </si>
  <si>
    <t>Risk free rate</t>
  </si>
  <si>
    <t>10 years T bond yield of Sri Lanka</t>
  </si>
  <si>
    <t>Market Return</t>
  </si>
  <si>
    <t>Weights calculation</t>
  </si>
  <si>
    <t>Weight</t>
  </si>
  <si>
    <t>Total debt</t>
  </si>
  <si>
    <t>Market cap</t>
  </si>
  <si>
    <t>WACC</t>
  </si>
  <si>
    <t>Weighted average cost of capital</t>
  </si>
  <si>
    <t>Equity risk premium</t>
  </si>
  <si>
    <t>D1/P + g -Rf</t>
  </si>
  <si>
    <t>Required rate of return</t>
  </si>
  <si>
    <t>Equity risk premium + Risk free rate</t>
  </si>
  <si>
    <t>Equity value</t>
  </si>
  <si>
    <t>Cost of debt taken as 2022 interest rates, because the 2022 int rates will continue for next 5 year</t>
  </si>
  <si>
    <t>Weights are calculated using 2022 capital structure</t>
  </si>
  <si>
    <t>all amounts in LKR'000</t>
  </si>
  <si>
    <t xml:space="preserve">Company </t>
  </si>
  <si>
    <t>17/18</t>
  </si>
  <si>
    <t>LKR'000</t>
  </si>
  <si>
    <t>18/19</t>
  </si>
  <si>
    <t>19/20</t>
  </si>
  <si>
    <t>20/21</t>
  </si>
  <si>
    <t>21/22</t>
  </si>
  <si>
    <t>Share Price</t>
  </si>
  <si>
    <t xml:space="preserve">Shares Oustanding </t>
  </si>
  <si>
    <t xml:space="preserve">Market Cap </t>
  </si>
  <si>
    <t xml:space="preserve">Net Debt </t>
  </si>
  <si>
    <t xml:space="preserve">Enterprise Value </t>
  </si>
  <si>
    <t xml:space="preserve">Revenue </t>
  </si>
  <si>
    <t xml:space="preserve">EBITDA </t>
  </si>
  <si>
    <t>Net Income</t>
  </si>
  <si>
    <t>EPS</t>
  </si>
  <si>
    <t>Market Cap</t>
  </si>
  <si>
    <t>Hayles Fabrics</t>
  </si>
  <si>
    <t>Global Textile(Ind) Ltd</t>
  </si>
  <si>
    <t>BPPL Holdings PLC</t>
  </si>
  <si>
    <t xml:space="preserve">Multiples </t>
  </si>
  <si>
    <t>P/E Ratio</t>
  </si>
  <si>
    <t>P/B Ratio</t>
  </si>
  <si>
    <t>P/S Ratio</t>
  </si>
  <si>
    <t>P/CF Ratio</t>
  </si>
  <si>
    <t>EV/EBITDA Ratio</t>
  </si>
  <si>
    <t>EV/EBIT Ratio</t>
  </si>
  <si>
    <t>EV/Sales Ratio</t>
  </si>
  <si>
    <t xml:space="preserve">Industry Ratios </t>
  </si>
  <si>
    <t xml:space="preserve">Mean P/E Ratio </t>
  </si>
  <si>
    <t>Median P/E Ratio</t>
  </si>
  <si>
    <t xml:space="preserve">Mean P/S Ratio </t>
  </si>
  <si>
    <t>Median P/S Ratio</t>
  </si>
  <si>
    <t xml:space="preserve">Mean P/B Ratio </t>
  </si>
  <si>
    <t>Median P/B Ratio</t>
  </si>
  <si>
    <t xml:space="preserve">Mean EV/EBITDA Ratio </t>
  </si>
  <si>
    <t>Median EV/EBITDA Ratio</t>
  </si>
  <si>
    <t>Mean EV/EBIT ratio</t>
  </si>
  <si>
    <t>Median EV/EBIT Ratio</t>
  </si>
  <si>
    <t>Mean EV/Sales Ratio</t>
  </si>
  <si>
    <t>Median EV/Sales Ratio</t>
  </si>
  <si>
    <t>Equity Value (Based on Median)</t>
  </si>
  <si>
    <t>Enterprise Value</t>
  </si>
  <si>
    <t xml:space="preserve">Equity Value </t>
  </si>
  <si>
    <t xml:space="preserve">Shares Outstanding </t>
  </si>
  <si>
    <t xml:space="preserve">Share Price </t>
  </si>
  <si>
    <t xml:space="preserve">Workings </t>
  </si>
  <si>
    <t>Hayleys Fabrics</t>
  </si>
  <si>
    <t xml:space="preserve">31 March 22 currency rate </t>
  </si>
  <si>
    <t xml:space="preserve">converted value </t>
  </si>
  <si>
    <t xml:space="preserve">31 March 21 currency rate </t>
  </si>
  <si>
    <t>Interest expences ST</t>
  </si>
  <si>
    <t>Interest expences LT</t>
  </si>
  <si>
    <t>EBIT</t>
  </si>
  <si>
    <t xml:space="preserve">EBIT </t>
  </si>
  <si>
    <t>Dep</t>
  </si>
  <si>
    <t xml:space="preserve">Amortization </t>
  </si>
  <si>
    <t>EBITDA</t>
  </si>
  <si>
    <t xml:space="preserve">Notes </t>
  </si>
  <si>
    <t xml:space="preserve">* Expenses of Hayleys was converted using the exchange rate for the period as mentioned in their financial statements. </t>
  </si>
  <si>
    <t xml:space="preserve">* Profit before tax was imported from the translated Statement of profit or loss and other comprehensive income statement </t>
  </si>
  <si>
    <t>Global Textile(Ind) Ltd (Ind Rs)</t>
  </si>
  <si>
    <t xml:space="preserve">31 march 22 Rate </t>
  </si>
  <si>
    <t xml:space="preserve">Converted value </t>
  </si>
  <si>
    <t xml:space="preserve">31 march 21 Rate </t>
  </si>
  <si>
    <t xml:space="preserve">31 march 20 Rate </t>
  </si>
  <si>
    <t xml:space="preserve">31 march 19 Rate </t>
  </si>
  <si>
    <t xml:space="preserve">31 march 18 Rate </t>
  </si>
  <si>
    <t>Interest expences</t>
  </si>
  <si>
    <t xml:space="preserve">Dep &amp; Amotization </t>
  </si>
  <si>
    <t>Notes</t>
  </si>
  <si>
    <t>*All the figures under Global Textile were converted into LKR'000 considering the exchange rate for the March 31st of each financial year</t>
  </si>
  <si>
    <t>BPPL</t>
  </si>
  <si>
    <t>*Net debt calculated by deducting cash and cash equivalents from the interest-bearing borrowings of each company</t>
  </si>
  <si>
    <t xml:space="preserve">Book Value </t>
  </si>
  <si>
    <t xml:space="preserve">Teejay Lanka </t>
  </si>
  <si>
    <t>*Book value calculated by dividing net assets from the shares outstanding of each company</t>
  </si>
  <si>
    <t xml:space="preserve">Net Cash generated from operation activities </t>
  </si>
  <si>
    <t>Market Risk Premium</t>
  </si>
  <si>
    <t>Retirement benefit obligations paid, took as a MA</t>
  </si>
  <si>
    <t>Lease interest took as a % of lease opening balance and forecasted using moving average</t>
  </si>
  <si>
    <t>There will not be any additions in next 5 years</t>
  </si>
  <si>
    <t>Rentals paid during the year took as a % of the total lease payable at the beginning of the year and predicted by using moving averages</t>
  </si>
  <si>
    <t>Lease breakedown into current and noncurrent using  as a % of total lease liabilities</t>
  </si>
  <si>
    <t>Depreciation charge for Right of use Asset  took as a %  and forecasted using moving average</t>
  </si>
  <si>
    <t>;the interests rates will be held as constant for next five year</t>
  </si>
  <si>
    <t>Terminal value</t>
  </si>
  <si>
    <t>DCF Valuation</t>
  </si>
  <si>
    <t>Enterprise value</t>
  </si>
  <si>
    <t>(+)Cash and marketable securities</t>
  </si>
  <si>
    <t>(-)Debt</t>
  </si>
  <si>
    <t>Intrinsic value</t>
  </si>
  <si>
    <t>Price upside/downside</t>
  </si>
  <si>
    <t xml:space="preserve">BUY or Sell </t>
  </si>
  <si>
    <t>Current share price(5th december 2022)</t>
  </si>
  <si>
    <t>Cost of equity (CAPM)</t>
  </si>
  <si>
    <t>Dividend growth rate</t>
  </si>
  <si>
    <t>Average Dividend growth rate</t>
  </si>
  <si>
    <t>terminal value</t>
  </si>
  <si>
    <t>Terminal</t>
  </si>
  <si>
    <t>Terminal growth rate</t>
  </si>
  <si>
    <t>FCFF + TV</t>
  </si>
  <si>
    <t>2018A</t>
  </si>
  <si>
    <t>2019A</t>
  </si>
  <si>
    <t>2020A</t>
  </si>
  <si>
    <t>2021A</t>
  </si>
  <si>
    <t>2022A</t>
  </si>
  <si>
    <t>2023E</t>
  </si>
  <si>
    <t>2024E</t>
  </si>
  <si>
    <t>2025E</t>
  </si>
  <si>
    <t>2026E</t>
  </si>
  <si>
    <t>2027E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</si>
</sst>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0.0%"/>
    <numFmt numFmtId="166" formatCode="0.000%"/>
    <numFmt numFmtId="167" formatCode="_(* #,##0_);_(* \(#,##0\);_(* &quot;-&quot;??_);_(@_)"/>
    <numFmt numFmtId="168" formatCode="0.0000%"/>
    <numFmt numFmtId="169" formatCode="0.00\x"/>
    <numFmt numFmtId="170" formatCode="_(* #,##0.00_);_(* \(#,##0.00\);_(* &quot;-&quot;_);_(@_)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0070C0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sz val="9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name val="Arial"/>
      <family val="2"/>
    </font>
    <font>
      <sz val="10"/>
      <color rgb="FF000000"/>
      <name val="Arial"/>
      <family val="2"/>
    </font>
    <font>
      <b/>
      <sz val="11"/>
      <color theme="3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u val="singleAccounting"/>
      <sz val="11"/>
      <color theme="1"/>
      <name val="Calibri"/>
      <family val="2"/>
      <scheme val="minor"/>
    </font>
    <font>
      <b/>
      <u/>
      <sz val="12"/>
      <color theme="1"/>
      <name val="Times New Roman"/>
      <family val="1"/>
    </font>
    <font>
      <sz val="11"/>
      <color theme="1"/>
      <name val="Times New Roman"/>
      <family val="1"/>
    </font>
    <font>
      <sz val="11"/>
      <color rgb="FFFF0000"/>
      <name val="Times New Roman"/>
      <family val="1"/>
    </font>
    <font>
      <b/>
      <sz val="9"/>
      <color rgb="FF333333"/>
      <name val="Arial"/>
      <family val="2"/>
    </font>
    <font>
      <sz val="12"/>
      <color theme="1"/>
      <name val="Times New Roman"/>
      <family val="1"/>
    </font>
    <font>
      <b/>
      <i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2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7" fillId="0" borderId="0" applyNumberFormat="0" applyFill="0" applyBorder="0" applyAlignment="0" applyProtection="0"/>
    <xf numFmtId="44" fontId="1" fillId="0" borderId="0" applyFont="0" applyFill="0" applyBorder="0" applyAlignment="0" applyProtection="0"/>
    <xf numFmtId="0" fontId="18" fillId="0" borderId="0"/>
    <xf numFmtId="9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7" fillId="0" borderId="0"/>
    <xf numFmtId="0" fontId="1" fillId="0" borderId="0"/>
  </cellStyleXfs>
  <cellXfs count="554">
    <xf numFmtId="0" fontId="0" fillId="0" borderId="0" xfId="0"/>
    <xf numFmtId="0" fontId="2" fillId="0" borderId="0" xfId="0" applyFont="1"/>
    <xf numFmtId="43" fontId="0" fillId="0" borderId="0" xfId="1" applyFont="1"/>
    <xf numFmtId="3" fontId="0" fillId="0" borderId="0" xfId="0" applyNumberFormat="1"/>
    <xf numFmtId="43" fontId="0" fillId="0" borderId="0" xfId="0" applyNumberFormat="1"/>
    <xf numFmtId="2" fontId="0" fillId="0" borderId="0" xfId="0" applyNumberFormat="1"/>
    <xf numFmtId="43" fontId="0" fillId="0" borderId="0" xfId="1" applyFont="1" applyAlignment="1">
      <alignment horizontal="right"/>
    </xf>
    <xf numFmtId="1" fontId="2" fillId="0" borderId="0" xfId="0" applyNumberFormat="1" applyFont="1" applyAlignment="1">
      <alignment horizontal="center"/>
    </xf>
    <xf numFmtId="1" fontId="2" fillId="0" borderId="0" xfId="1" applyNumberFormat="1" applyFont="1" applyAlignment="1">
      <alignment horizontal="center"/>
    </xf>
    <xf numFmtId="0" fontId="2" fillId="2" borderId="0" xfId="0" applyFont="1" applyFill="1"/>
    <xf numFmtId="0" fontId="6" fillId="3" borderId="0" xfId="0" applyFont="1" applyFill="1"/>
    <xf numFmtId="0" fontId="0" fillId="3" borderId="0" xfId="0" applyFill="1"/>
    <xf numFmtId="43" fontId="0" fillId="3" borderId="0" xfId="1" applyFont="1" applyFill="1"/>
    <xf numFmtId="0" fontId="0" fillId="4" borderId="0" xfId="0" applyFill="1"/>
    <xf numFmtId="43" fontId="0" fillId="4" borderId="0" xfId="1" applyFont="1" applyFill="1"/>
    <xf numFmtId="43" fontId="0" fillId="4" borderId="0" xfId="0" applyNumberFormat="1" applyFill="1"/>
    <xf numFmtId="0" fontId="3" fillId="0" borderId="0" xfId="0" applyFont="1"/>
    <xf numFmtId="0" fontId="3" fillId="0" borderId="0" xfId="0" applyFont="1" applyAlignment="1">
      <alignment wrapText="1"/>
    </xf>
    <xf numFmtId="0" fontId="0" fillId="2" borderId="0" xfId="0" applyFill="1"/>
    <xf numFmtId="43" fontId="0" fillId="2" borderId="0" xfId="1" applyFont="1" applyFill="1"/>
    <xf numFmtId="43" fontId="0" fillId="0" borderId="0" xfId="1" applyFont="1" applyAlignment="1">
      <alignment horizontal="left"/>
    </xf>
    <xf numFmtId="43" fontId="2" fillId="2" borderId="0" xfId="1" applyFont="1" applyFill="1" applyAlignment="1">
      <alignment horizontal="left"/>
    </xf>
    <xf numFmtId="43" fontId="2" fillId="0" borderId="0" xfId="1" applyFont="1" applyAlignment="1">
      <alignment horizontal="left"/>
    </xf>
    <xf numFmtId="43" fontId="0" fillId="0" borderId="0" xfId="0" applyNumberFormat="1" applyAlignment="1">
      <alignment horizontal="right"/>
    </xf>
    <xf numFmtId="164" fontId="0" fillId="0" borderId="0" xfId="0" applyNumberFormat="1"/>
    <xf numFmtId="0" fontId="2" fillId="3" borderId="0" xfId="0" applyFont="1" applyFill="1"/>
    <xf numFmtId="2" fontId="4" fillId="0" borderId="0" xfId="0" applyNumberFormat="1" applyFont="1"/>
    <xf numFmtId="9" fontId="0" fillId="0" borderId="0" xfId="2" applyFont="1"/>
    <xf numFmtId="43" fontId="2" fillId="0" borderId="0" xfId="1" applyFont="1" applyFill="1" applyAlignment="1">
      <alignment horizontal="left"/>
    </xf>
    <xf numFmtId="0" fontId="8" fillId="0" borderId="0" xfId="0" applyFont="1"/>
    <xf numFmtId="10" fontId="9" fillId="0" borderId="0" xfId="2" applyNumberFormat="1" applyFont="1"/>
    <xf numFmtId="165" fontId="9" fillId="0" borderId="0" xfId="2" applyNumberFormat="1" applyFont="1"/>
    <xf numFmtId="0" fontId="9" fillId="0" borderId="0" xfId="0" applyFont="1"/>
    <xf numFmtId="10" fontId="13" fillId="0" borderId="0" xfId="2" applyNumberFormat="1" applyFont="1"/>
    <xf numFmtId="0" fontId="12" fillId="5" borderId="0" xfId="1" applyNumberFormat="1" applyFont="1" applyFill="1" applyBorder="1" applyAlignment="1"/>
    <xf numFmtId="0" fontId="10" fillId="5" borderId="0" xfId="1" applyNumberFormat="1" applyFont="1" applyFill="1" applyBorder="1" applyAlignment="1"/>
    <xf numFmtId="0" fontId="11" fillId="5" borderId="0" xfId="3" applyNumberFormat="1" applyFont="1" applyFill="1" applyBorder="1" applyAlignment="1">
      <alignment horizontal="center"/>
    </xf>
    <xf numFmtId="0" fontId="12" fillId="5" borderId="0" xfId="1" applyNumberFormat="1" applyFont="1" applyFill="1" applyBorder="1" applyAlignment="1">
      <alignment horizontal="center"/>
    </xf>
    <xf numFmtId="0" fontId="6" fillId="0" borderId="0" xfId="0" applyFont="1"/>
    <xf numFmtId="43" fontId="13" fillId="0" borderId="0" xfId="1" applyFont="1" applyFill="1"/>
    <xf numFmtId="10" fontId="0" fillId="0" borderId="0" xfId="0" applyNumberFormat="1"/>
    <xf numFmtId="166" fontId="0" fillId="4" borderId="0" xfId="0" applyNumberFormat="1" applyFill="1"/>
    <xf numFmtId="166" fontId="6" fillId="3" borderId="0" xfId="0" applyNumberFormat="1" applyFont="1" applyFill="1"/>
    <xf numFmtId="166" fontId="0" fillId="3" borderId="0" xfId="0" applyNumberFormat="1" applyFill="1"/>
    <xf numFmtId="166" fontId="0" fillId="3" borderId="0" xfId="1" applyNumberFormat="1" applyFont="1" applyFill="1"/>
    <xf numFmtId="166" fontId="0" fillId="0" borderId="0" xfId="0" applyNumberFormat="1"/>
    <xf numFmtId="166" fontId="0" fillId="0" borderId="0" xfId="1" applyNumberFormat="1" applyFont="1"/>
    <xf numFmtId="166" fontId="2" fillId="2" borderId="0" xfId="0" applyNumberFormat="1" applyFont="1" applyFill="1"/>
    <xf numFmtId="166" fontId="0" fillId="0" borderId="0" xfId="2" applyNumberFormat="1" applyFont="1"/>
    <xf numFmtId="166" fontId="2" fillId="2" borderId="0" xfId="2" applyNumberFormat="1" applyFont="1" applyFill="1"/>
    <xf numFmtId="166" fontId="0" fillId="0" borderId="0" xfId="2" applyNumberFormat="1" applyFont="1" applyAlignment="1">
      <alignment horizontal="right"/>
    </xf>
    <xf numFmtId="166" fontId="0" fillId="0" borderId="0" xfId="1" applyNumberFormat="1" applyFont="1" applyAlignment="1">
      <alignment horizontal="right"/>
    </xf>
    <xf numFmtId="166" fontId="2" fillId="0" borderId="0" xfId="2" applyNumberFormat="1" applyFont="1" applyAlignment="1">
      <alignment horizontal="right"/>
    </xf>
    <xf numFmtId="166" fontId="2" fillId="2" borderId="0" xfId="1" applyNumberFormat="1" applyFont="1" applyFill="1" applyAlignment="1">
      <alignment horizontal="left"/>
    </xf>
    <xf numFmtId="166" fontId="0" fillId="0" borderId="0" xfId="1" applyNumberFormat="1" applyFont="1" applyAlignment="1">
      <alignment horizontal="left"/>
    </xf>
    <xf numFmtId="166" fontId="0" fillId="4" borderId="0" xfId="1" applyNumberFormat="1" applyFont="1" applyFill="1"/>
    <xf numFmtId="166" fontId="2" fillId="2" borderId="0" xfId="2" applyNumberFormat="1" applyFont="1" applyFill="1" applyAlignment="1">
      <alignment horizontal="right"/>
    </xf>
    <xf numFmtId="166" fontId="6" fillId="0" borderId="0" xfId="0" applyNumberFormat="1" applyFont="1"/>
    <xf numFmtId="166" fontId="2" fillId="2" borderId="0" xfId="1" applyNumberFormat="1" applyFont="1" applyFill="1" applyAlignment="1">
      <alignment horizontal="right"/>
    </xf>
    <xf numFmtId="166" fontId="2" fillId="0" borderId="0" xfId="1" applyNumberFormat="1" applyFont="1" applyAlignment="1">
      <alignment horizontal="right"/>
    </xf>
    <xf numFmtId="166" fontId="14" fillId="0" borderId="0" xfId="0" applyNumberFormat="1" applyFont="1"/>
    <xf numFmtId="1" fontId="2" fillId="2" borderId="0" xfId="0" applyNumberFormat="1" applyFont="1" applyFill="1"/>
    <xf numFmtId="166" fontId="0" fillId="0" borderId="0" xfId="1" applyNumberFormat="1" applyFont="1" applyFill="1" applyAlignment="1">
      <alignment horizontal="right"/>
    </xf>
    <xf numFmtId="166" fontId="2" fillId="0" borderId="0" xfId="1" applyNumberFormat="1" applyFont="1" applyFill="1" applyAlignment="1">
      <alignment horizontal="right"/>
    </xf>
    <xf numFmtId="166" fontId="2" fillId="0" borderId="0" xfId="2" applyNumberFormat="1" applyFont="1" applyFill="1" applyAlignment="1">
      <alignment horizontal="right"/>
    </xf>
    <xf numFmtId="43" fontId="4" fillId="4" borderId="0" xfId="0" applyNumberFormat="1" applyFont="1" applyFill="1"/>
    <xf numFmtId="2" fontId="4" fillId="4" borderId="0" xfId="0" applyNumberFormat="1" applyFont="1" applyFill="1"/>
    <xf numFmtId="10" fontId="0" fillId="0" borderId="0" xfId="2" applyNumberFormat="1" applyFont="1"/>
    <xf numFmtId="0" fontId="11" fillId="5" borderId="1" xfId="3" applyNumberFormat="1" applyFont="1" applyFill="1" applyBorder="1" applyAlignment="1">
      <alignment horizontal="center"/>
    </xf>
    <xf numFmtId="0" fontId="12" fillId="5" borderId="1" xfId="1" applyNumberFormat="1" applyFont="1" applyFill="1" applyBorder="1" applyAlignment="1">
      <alignment horizontal="center"/>
    </xf>
    <xf numFmtId="0" fontId="8" fillId="0" borderId="1" xfId="0" applyFont="1" applyBorder="1"/>
    <xf numFmtId="43" fontId="13" fillId="0" borderId="1" xfId="1" applyFont="1" applyFill="1" applyBorder="1"/>
    <xf numFmtId="43" fontId="0" fillId="0" borderId="0" xfId="1" applyFont="1" applyFill="1" applyAlignment="1">
      <alignment horizontal="right"/>
    </xf>
    <xf numFmtId="4" fontId="0" fillId="0" borderId="0" xfId="0" applyNumberFormat="1"/>
    <xf numFmtId="43" fontId="0" fillId="0" borderId="0" xfId="1" applyFont="1" applyFill="1"/>
    <xf numFmtId="0" fontId="3" fillId="0" borderId="0" xfId="0" applyFont="1" applyAlignment="1">
      <alignment horizontal="left" wrapText="1"/>
    </xf>
    <xf numFmtId="0" fontId="14" fillId="0" borderId="0" xfId="0" applyFont="1"/>
    <xf numFmtId="43" fontId="0" fillId="0" borderId="0" xfId="1" applyFont="1" applyFill="1" applyAlignment="1">
      <alignment horizontal="left"/>
    </xf>
    <xf numFmtId="166" fontId="0" fillId="0" borderId="0" xfId="2" applyNumberFormat="1" applyFont="1" applyFill="1" applyAlignment="1">
      <alignment horizontal="right"/>
    </xf>
    <xf numFmtId="43" fontId="5" fillId="0" borderId="0" xfId="1" applyFont="1" applyFill="1" applyAlignment="1">
      <alignment horizontal="left"/>
    </xf>
    <xf numFmtId="166" fontId="2" fillId="0" borderId="0" xfId="1" applyNumberFormat="1" applyFont="1" applyFill="1" applyAlignment="1">
      <alignment horizontal="left"/>
    </xf>
    <xf numFmtId="0" fontId="2" fillId="0" borderId="3" xfId="0" applyFont="1" applyBorder="1"/>
    <xf numFmtId="0" fontId="2" fillId="0" borderId="1" xfId="0" applyFont="1" applyBorder="1"/>
    <xf numFmtId="9" fontId="0" fillId="0" borderId="0" xfId="0" applyNumberFormat="1"/>
    <xf numFmtId="44" fontId="0" fillId="0" borderId="1" xfId="4" applyFont="1" applyBorder="1"/>
    <xf numFmtId="0" fontId="2" fillId="5" borderId="0" xfId="0" applyFont="1" applyFill="1"/>
    <xf numFmtId="0" fontId="0" fillId="0" borderId="0" xfId="0" applyAlignment="1">
      <alignment horizontal="right"/>
    </xf>
    <xf numFmtId="0" fontId="2" fillId="5" borderId="0" xfId="0" applyFont="1" applyFill="1" applyAlignment="1">
      <alignment horizontal="right"/>
    </xf>
    <xf numFmtId="43" fontId="2" fillId="0" borderId="3" xfId="1" applyFont="1" applyBorder="1" applyAlignment="1">
      <alignment horizontal="right"/>
    </xf>
    <xf numFmtId="43" fontId="2" fillId="0" borderId="3" xfId="1" applyFont="1" applyBorder="1"/>
    <xf numFmtId="0" fontId="0" fillId="4" borderId="0" xfId="0" applyFill="1" applyAlignment="1">
      <alignment horizontal="right"/>
    </xf>
    <xf numFmtId="0" fontId="0" fillId="0" borderId="0" xfId="0" applyAlignment="1">
      <alignment horizontal="left"/>
    </xf>
    <xf numFmtId="43" fontId="0" fillId="7" borderId="0" xfId="1" applyFont="1" applyFill="1" applyAlignment="1">
      <alignment horizontal="right"/>
    </xf>
    <xf numFmtId="0" fontId="0" fillId="7" borderId="0" xfId="0" applyFill="1"/>
    <xf numFmtId="0" fontId="0" fillId="10" borderId="0" xfId="0" applyFill="1"/>
    <xf numFmtId="43" fontId="0" fillId="10" borderId="0" xfId="1" applyFont="1" applyFill="1" applyAlignment="1">
      <alignment horizontal="right"/>
    </xf>
    <xf numFmtId="0" fontId="16" fillId="0" borderId="0" xfId="0" applyFont="1"/>
    <xf numFmtId="0" fontId="2" fillId="6" borderId="0" xfId="0" applyFont="1" applyFill="1"/>
    <xf numFmtId="43" fontId="0" fillId="11" borderId="0" xfId="1" applyFont="1" applyFill="1" applyAlignment="1">
      <alignment horizontal="right"/>
    </xf>
    <xf numFmtId="43" fontId="0" fillId="9" borderId="0" xfId="1" applyFont="1" applyFill="1" applyAlignment="1">
      <alignment horizontal="right"/>
    </xf>
    <xf numFmtId="43" fontId="0" fillId="8" borderId="0" xfId="1" applyFont="1" applyFill="1" applyAlignment="1">
      <alignment horizontal="right"/>
    </xf>
    <xf numFmtId="43" fontId="0" fillId="7" borderId="6" xfId="1" applyFont="1" applyFill="1" applyBorder="1" applyAlignment="1">
      <alignment horizontal="right"/>
    </xf>
    <xf numFmtId="43" fontId="0" fillId="7" borderId="7" xfId="1" applyFont="1" applyFill="1" applyBorder="1" applyAlignment="1">
      <alignment horizontal="right"/>
    </xf>
    <xf numFmtId="43" fontId="0" fillId="10" borderId="7" xfId="1" applyFont="1" applyFill="1" applyBorder="1" applyAlignment="1">
      <alignment horizontal="right"/>
    </xf>
    <xf numFmtId="43" fontId="0" fillId="10" borderId="8" xfId="1" applyFont="1" applyFill="1" applyBorder="1" applyAlignment="1">
      <alignment horizontal="right"/>
    </xf>
    <xf numFmtId="43" fontId="0" fillId="10" borderId="6" xfId="1" applyFont="1" applyFill="1" applyBorder="1" applyAlignment="1">
      <alignment horizontal="right"/>
    </xf>
    <xf numFmtId="43" fontId="0" fillId="0" borderId="7" xfId="1" applyFont="1" applyBorder="1" applyAlignment="1">
      <alignment horizontal="right"/>
    </xf>
    <xf numFmtId="43" fontId="0" fillId="0" borderId="8" xfId="1" applyFont="1" applyBorder="1" applyAlignment="1">
      <alignment horizontal="right"/>
    </xf>
    <xf numFmtId="43" fontId="0" fillId="0" borderId="0" xfId="1" applyFont="1" applyBorder="1" applyAlignment="1">
      <alignment horizontal="right"/>
    </xf>
    <xf numFmtId="43" fontId="0" fillId="7" borderId="0" xfId="1" applyFont="1" applyFill="1" applyBorder="1" applyAlignment="1">
      <alignment horizontal="right"/>
    </xf>
    <xf numFmtId="43" fontId="0" fillId="10" borderId="0" xfId="1" applyFont="1" applyFill="1" applyBorder="1" applyAlignment="1">
      <alignment horizontal="right"/>
    </xf>
    <xf numFmtId="43" fontId="14" fillId="0" borderId="0" xfId="1" applyFont="1" applyFill="1" applyAlignment="1">
      <alignment horizontal="right"/>
    </xf>
    <xf numFmtId="167" fontId="14" fillId="0" borderId="0" xfId="1" applyNumberFormat="1" applyFont="1" applyFill="1"/>
    <xf numFmtId="43" fontId="2" fillId="0" borderId="3" xfId="1" applyFont="1" applyFill="1" applyBorder="1"/>
    <xf numFmtId="0" fontId="15" fillId="0" borderId="0" xfId="0" applyFont="1"/>
    <xf numFmtId="167" fontId="2" fillId="0" borderId="3" xfId="0" applyNumberFormat="1" applyFont="1" applyBorder="1"/>
    <xf numFmtId="0" fontId="0" fillId="11" borderId="0" xfId="0" applyFill="1"/>
    <xf numFmtId="43" fontId="0" fillId="12" borderId="0" xfId="1" applyFont="1" applyFill="1" applyAlignment="1">
      <alignment horizontal="right"/>
    </xf>
    <xf numFmtId="167" fontId="14" fillId="7" borderId="0" xfId="1" applyNumberFormat="1" applyFont="1" applyFill="1"/>
    <xf numFmtId="0" fontId="19" fillId="6" borderId="0" xfId="0" applyFont="1" applyFill="1"/>
    <xf numFmtId="1" fontId="2" fillId="6" borderId="0" xfId="0" applyNumberFormat="1" applyFont="1" applyFill="1" applyAlignment="1">
      <alignment horizontal="center"/>
    </xf>
    <xf numFmtId="1" fontId="2" fillId="6" borderId="0" xfId="1" applyNumberFormat="1" applyFont="1" applyFill="1" applyAlignment="1">
      <alignment horizontal="center"/>
    </xf>
    <xf numFmtId="0" fontId="2" fillId="6" borderId="0" xfId="0" applyFont="1" applyFill="1" applyAlignment="1">
      <alignment horizontal="right"/>
    </xf>
    <xf numFmtId="0" fontId="0" fillId="6" borderId="0" xfId="0" applyFill="1"/>
    <xf numFmtId="10" fontId="0" fillId="6" borderId="0" xfId="2" applyNumberFormat="1" applyFont="1" applyFill="1"/>
    <xf numFmtId="41" fontId="0" fillId="0" borderId="0" xfId="0" applyNumberFormat="1"/>
    <xf numFmtId="0" fontId="0" fillId="13" borderId="0" xfId="0" applyFill="1"/>
    <xf numFmtId="10" fontId="0" fillId="0" borderId="0" xfId="2" applyNumberFormat="1" applyFont="1" applyFill="1"/>
    <xf numFmtId="0" fontId="20" fillId="0" borderId="0" xfId="0" applyFont="1"/>
    <xf numFmtId="0" fontId="0" fillId="0" borderId="0" xfId="0" applyAlignment="1">
      <alignment horizontal="left" indent="3"/>
    </xf>
    <xf numFmtId="43" fontId="0" fillId="2" borderId="0" xfId="0" applyNumberFormat="1" applyFill="1"/>
    <xf numFmtId="43" fontId="0" fillId="7" borderId="0" xfId="1" applyFont="1" applyFill="1"/>
    <xf numFmtId="43" fontId="0" fillId="14" borderId="0" xfId="1" applyFont="1" applyFill="1"/>
    <xf numFmtId="43" fontId="0" fillId="14" borderId="0" xfId="1" applyFont="1" applyFill="1" applyAlignment="1">
      <alignment horizontal="right"/>
    </xf>
    <xf numFmtId="41" fontId="0" fillId="15" borderId="0" xfId="0" applyNumberFormat="1" applyFill="1"/>
    <xf numFmtId="10" fontId="0" fillId="15" borderId="0" xfId="2" applyNumberFormat="1" applyFont="1" applyFill="1"/>
    <xf numFmtId="10" fontId="0" fillId="15" borderId="0" xfId="0" applyNumberFormat="1" applyFill="1"/>
    <xf numFmtId="41" fontId="0" fillId="15" borderId="0" xfId="1" applyNumberFormat="1" applyFont="1" applyFill="1"/>
    <xf numFmtId="43" fontId="0" fillId="15" borderId="0" xfId="1" applyFont="1" applyFill="1"/>
    <xf numFmtId="41" fontId="0" fillId="0" borderId="0" xfId="2" applyNumberFormat="1" applyFont="1" applyFill="1"/>
    <xf numFmtId="0" fontId="2" fillId="0" borderId="9" xfId="0" applyFont="1" applyBorder="1"/>
    <xf numFmtId="43" fontId="2" fillId="0" borderId="9" xfId="0" applyNumberFormat="1" applyFont="1" applyBorder="1" applyAlignment="1">
      <alignment horizontal="right"/>
    </xf>
    <xf numFmtId="43" fontId="2" fillId="0" borderId="9" xfId="1" applyFont="1" applyBorder="1" applyAlignment="1">
      <alignment horizontal="right"/>
    </xf>
    <xf numFmtId="43" fontId="0" fillId="14" borderId="0" xfId="0" applyNumberFormat="1" applyFill="1" applyAlignment="1">
      <alignment horizontal="right"/>
    </xf>
    <xf numFmtId="10" fontId="0" fillId="0" borderId="0" xfId="2" applyNumberFormat="1" applyFont="1" applyFill="1" applyAlignment="1">
      <alignment horizontal="right"/>
    </xf>
    <xf numFmtId="0" fontId="0" fillId="0" borderId="9" xfId="0" applyBorder="1"/>
    <xf numFmtId="43" fontId="0" fillId="0" borderId="9" xfId="1" applyFont="1" applyFill="1" applyBorder="1" applyAlignment="1">
      <alignment horizontal="right"/>
    </xf>
    <xf numFmtId="43" fontId="0" fillId="0" borderId="9" xfId="0" applyNumberFormat="1" applyBorder="1" applyAlignment="1">
      <alignment horizontal="right"/>
    </xf>
    <xf numFmtId="43" fontId="0" fillId="0" borderId="9" xfId="0" applyNumberFormat="1" applyBorder="1"/>
    <xf numFmtId="2" fontId="0" fillId="0" borderId="0" xfId="0" applyNumberFormat="1" applyAlignment="1">
      <alignment horizontal="right"/>
    </xf>
    <xf numFmtId="0" fontId="2" fillId="0" borderId="0" xfId="0" applyFont="1" applyAlignment="1">
      <alignment horizontal="right"/>
    </xf>
    <xf numFmtId="166" fontId="0" fillId="0" borderId="0" xfId="2" applyNumberFormat="1" applyFont="1" applyFill="1"/>
    <xf numFmtId="43" fontId="14" fillId="0" borderId="0" xfId="1" applyFont="1" applyFill="1"/>
    <xf numFmtId="0" fontId="0" fillId="16" borderId="0" xfId="0" applyFill="1"/>
    <xf numFmtId="0" fontId="0" fillId="16" borderId="0" xfId="0" applyFill="1" applyAlignment="1">
      <alignment horizontal="right"/>
    </xf>
    <xf numFmtId="43" fontId="14" fillId="16" borderId="0" xfId="0" applyNumberFormat="1" applyFont="1" applyFill="1" applyAlignment="1">
      <alignment horizontal="right"/>
    </xf>
    <xf numFmtId="43" fontId="0" fillId="16" borderId="0" xfId="1" applyFont="1" applyFill="1"/>
    <xf numFmtId="43" fontId="0" fillId="16" borderId="0" xfId="1" applyFont="1" applyFill="1" applyAlignment="1">
      <alignment horizontal="right"/>
    </xf>
    <xf numFmtId="43" fontId="14" fillId="16" borderId="0" xfId="1" applyFont="1" applyFill="1"/>
    <xf numFmtId="0" fontId="0" fillId="17" borderId="0" xfId="0" applyFill="1"/>
    <xf numFmtId="43" fontId="0" fillId="0" borderId="0" xfId="1" applyFont="1" applyBorder="1"/>
    <xf numFmtId="43" fontId="0" fillId="7" borderId="0" xfId="0" applyNumberFormat="1" applyFill="1" applyAlignment="1">
      <alignment horizontal="right"/>
    </xf>
    <xf numFmtId="0" fontId="2" fillId="7" borderId="0" xfId="0" applyFont="1" applyFill="1"/>
    <xf numFmtId="0" fontId="2" fillId="19" borderId="0" xfId="0" applyFont="1" applyFill="1" applyAlignment="1">
      <alignment horizontal="right"/>
    </xf>
    <xf numFmtId="0" fontId="0" fillId="19" borderId="0" xfId="0" applyFill="1" applyAlignment="1">
      <alignment horizontal="right"/>
    </xf>
    <xf numFmtId="43" fontId="0" fillId="19" borderId="0" xfId="1" applyFont="1" applyFill="1" applyBorder="1"/>
    <xf numFmtId="43" fontId="2" fillId="19" borderId="0" xfId="0" applyNumberFormat="1" applyFont="1" applyFill="1"/>
    <xf numFmtId="3" fontId="0" fillId="19" borderId="0" xfId="0" applyNumberFormat="1" applyFill="1"/>
    <xf numFmtId="0" fontId="0" fillId="19" borderId="0" xfId="0" applyFill="1"/>
    <xf numFmtId="43" fontId="0" fillId="19" borderId="10" xfId="1" applyFont="1" applyFill="1" applyBorder="1"/>
    <xf numFmtId="43" fontId="0" fillId="19" borderId="12" xfId="1" applyFont="1" applyFill="1" applyBorder="1"/>
    <xf numFmtId="43" fontId="0" fillId="19" borderId="14" xfId="1" applyFont="1" applyFill="1" applyBorder="1"/>
    <xf numFmtId="43" fontId="0" fillId="19" borderId="5" xfId="1" applyFont="1" applyFill="1" applyBorder="1"/>
    <xf numFmtId="43" fontId="0" fillId="19" borderId="16" xfId="1" applyFont="1" applyFill="1" applyBorder="1"/>
    <xf numFmtId="43" fontId="0" fillId="19" borderId="0" xfId="1" applyFont="1" applyFill="1" applyBorder="1" applyAlignment="1">
      <alignment horizontal="right"/>
    </xf>
    <xf numFmtId="43" fontId="0" fillId="19" borderId="0" xfId="1" applyFont="1" applyFill="1"/>
    <xf numFmtId="0" fontId="0" fillId="19" borderId="10" xfId="0" applyFill="1" applyBorder="1" applyAlignment="1">
      <alignment horizontal="right"/>
    </xf>
    <xf numFmtId="0" fontId="0" fillId="19" borderId="12" xfId="0" applyFill="1" applyBorder="1" applyAlignment="1">
      <alignment horizontal="right"/>
    </xf>
    <xf numFmtId="0" fontId="0" fillId="19" borderId="14" xfId="0" applyFill="1" applyBorder="1" applyAlignment="1">
      <alignment horizontal="right"/>
    </xf>
    <xf numFmtId="0" fontId="0" fillId="19" borderId="5" xfId="0" applyFill="1" applyBorder="1" applyAlignment="1">
      <alignment horizontal="right"/>
    </xf>
    <xf numFmtId="0" fontId="0" fillId="19" borderId="16" xfId="0" applyFill="1" applyBorder="1" applyAlignment="1">
      <alignment horizontal="right"/>
    </xf>
    <xf numFmtId="0" fontId="6" fillId="6" borderId="0" xfId="0" applyFont="1" applyFill="1"/>
    <xf numFmtId="0" fontId="22" fillId="6" borderId="0" xfId="0" applyFont="1" applyFill="1"/>
    <xf numFmtId="43" fontId="0" fillId="13" borderId="0" xfId="1" applyFont="1" applyFill="1" applyAlignment="1">
      <alignment horizontal="right"/>
    </xf>
    <xf numFmtId="43" fontId="14" fillId="13" borderId="0" xfId="1" applyFont="1" applyFill="1" applyAlignment="1">
      <alignment horizontal="right"/>
    </xf>
    <xf numFmtId="43" fontId="14" fillId="11" borderId="0" xfId="1" applyFont="1" applyFill="1" applyAlignment="1">
      <alignment horizontal="right"/>
    </xf>
    <xf numFmtId="167" fontId="14" fillId="11" borderId="0" xfId="1" applyNumberFormat="1" applyFont="1" applyFill="1"/>
    <xf numFmtId="167" fontId="14" fillId="13" borderId="0" xfId="1" applyNumberFormat="1" applyFont="1" applyFill="1"/>
    <xf numFmtId="0" fontId="16" fillId="11" borderId="0" xfId="0" applyFont="1" applyFill="1"/>
    <xf numFmtId="0" fontId="0" fillId="11" borderId="0" xfId="0" applyFill="1" applyAlignment="1">
      <alignment horizontal="left"/>
    </xf>
    <xf numFmtId="10" fontId="0" fillId="0" borderId="0" xfId="0" applyNumberFormat="1" applyAlignment="1">
      <alignment horizontal="right"/>
    </xf>
    <xf numFmtId="9" fontId="14" fillId="7" borderId="0" xfId="2" applyFont="1" applyFill="1"/>
    <xf numFmtId="9" fontId="14" fillId="7" borderId="0" xfId="2" applyFont="1" applyFill="1" applyAlignment="1">
      <alignment horizontal="right"/>
    </xf>
    <xf numFmtId="0" fontId="4" fillId="0" borderId="0" xfId="0" applyFont="1"/>
    <xf numFmtId="167" fontId="4" fillId="0" borderId="0" xfId="0" applyNumberFormat="1" applyFont="1"/>
    <xf numFmtId="43" fontId="4" fillId="0" borderId="0" xfId="0" applyNumberFormat="1" applyFont="1"/>
    <xf numFmtId="43" fontId="14" fillId="13" borderId="0" xfId="1" applyFont="1" applyFill="1"/>
    <xf numFmtId="43" fontId="0" fillId="11" borderId="0" xfId="1" applyFont="1" applyFill="1"/>
    <xf numFmtId="0" fontId="2" fillId="11" borderId="0" xfId="0" applyFont="1" applyFill="1"/>
    <xf numFmtId="0" fontId="2" fillId="11" borderId="0" xfId="1" applyNumberFormat="1" applyFont="1" applyFill="1"/>
    <xf numFmtId="0" fontId="21" fillId="11" borderId="0" xfId="0" applyFont="1" applyFill="1"/>
    <xf numFmtId="0" fontId="0" fillId="20" borderId="0" xfId="0" applyFill="1"/>
    <xf numFmtId="43" fontId="0" fillId="20" borderId="0" xfId="1" applyFont="1" applyFill="1" applyAlignment="1">
      <alignment horizontal="right"/>
    </xf>
    <xf numFmtId="43" fontId="0" fillId="20" borderId="5" xfId="1" applyFont="1" applyFill="1" applyBorder="1" applyAlignment="1">
      <alignment horizontal="right"/>
    </xf>
    <xf numFmtId="43" fontId="0" fillId="10" borderId="0" xfId="0" applyNumberFormat="1" applyFill="1"/>
    <xf numFmtId="0" fontId="2" fillId="20" borderId="0" xfId="0" applyFont="1" applyFill="1"/>
    <xf numFmtId="0" fontId="2" fillId="20" borderId="11" xfId="0" applyFont="1" applyFill="1" applyBorder="1"/>
    <xf numFmtId="43" fontId="0" fillId="20" borderId="10" xfId="1" applyFont="1" applyFill="1" applyBorder="1" applyAlignment="1">
      <alignment horizontal="right"/>
    </xf>
    <xf numFmtId="43" fontId="0" fillId="20" borderId="0" xfId="1" applyFont="1" applyFill="1" applyBorder="1" applyAlignment="1">
      <alignment horizontal="right"/>
    </xf>
    <xf numFmtId="0" fontId="0" fillId="20" borderId="13" xfId="0" applyFill="1" applyBorder="1"/>
    <xf numFmtId="0" fontId="0" fillId="20" borderId="15" xfId="0" applyFill="1" applyBorder="1"/>
    <xf numFmtId="0" fontId="2" fillId="10" borderId="0" xfId="0" applyFont="1" applyFill="1"/>
    <xf numFmtId="0" fontId="0" fillId="10" borderId="11" xfId="0" applyFill="1" applyBorder="1"/>
    <xf numFmtId="43" fontId="0" fillId="10" borderId="10" xfId="1" applyFont="1" applyFill="1" applyBorder="1" applyAlignment="1">
      <alignment horizontal="right"/>
    </xf>
    <xf numFmtId="43" fontId="0" fillId="10" borderId="12" xfId="1" applyFont="1" applyFill="1" applyBorder="1" applyAlignment="1">
      <alignment horizontal="right"/>
    </xf>
    <xf numFmtId="0" fontId="0" fillId="10" borderId="13" xfId="0" applyFill="1" applyBorder="1"/>
    <xf numFmtId="43" fontId="0" fillId="10" borderId="14" xfId="1" applyFont="1" applyFill="1" applyBorder="1" applyAlignment="1">
      <alignment horizontal="right"/>
    </xf>
    <xf numFmtId="0" fontId="0" fillId="10" borderId="15" xfId="0" applyFill="1" applyBorder="1"/>
    <xf numFmtId="43" fontId="0" fillId="10" borderId="5" xfId="1" applyFont="1" applyFill="1" applyBorder="1" applyAlignment="1">
      <alignment horizontal="right"/>
    </xf>
    <xf numFmtId="43" fontId="0" fillId="10" borderId="16" xfId="1" applyFont="1" applyFill="1" applyBorder="1" applyAlignment="1">
      <alignment horizontal="right"/>
    </xf>
    <xf numFmtId="0" fontId="20" fillId="10" borderId="0" xfId="0" applyFont="1" applyFill="1"/>
    <xf numFmtId="0" fontId="0" fillId="20" borderId="5" xfId="0" applyFill="1" applyBorder="1"/>
    <xf numFmtId="0" fontId="0" fillId="0" borderId="0" xfId="0" applyAlignment="1">
      <alignment horizontal="left" indent="2"/>
    </xf>
    <xf numFmtId="43" fontId="0" fillId="14" borderId="0" xfId="0" applyNumberFormat="1" applyFill="1"/>
    <xf numFmtId="43" fontId="0" fillId="0" borderId="2" xfId="0" applyNumberFormat="1" applyBorder="1"/>
    <xf numFmtId="43" fontId="0" fillId="0" borderId="3" xfId="0" applyNumberFormat="1" applyBorder="1"/>
    <xf numFmtId="43" fontId="24" fillId="0" borderId="0" xfId="1" applyFont="1" applyAlignment="1">
      <alignment horizontal="left"/>
    </xf>
    <xf numFmtId="10" fontId="0" fillId="4" borderId="0" xfId="2" applyNumberFormat="1" applyFont="1" applyFill="1"/>
    <xf numFmtId="10" fontId="0" fillId="4" borderId="0" xfId="0" applyNumberFormat="1" applyFill="1"/>
    <xf numFmtId="0" fontId="2" fillId="0" borderId="0" xfId="0" applyFont="1" applyAlignment="1">
      <alignment horizontal="left"/>
    </xf>
    <xf numFmtId="43" fontId="21" fillId="0" borderId="0" xfId="1" applyFont="1" applyBorder="1"/>
    <xf numFmtId="43" fontId="4" fillId="0" borderId="0" xfId="1" applyFont="1" applyBorder="1"/>
    <xf numFmtId="43" fontId="21" fillId="0" borderId="0" xfId="0" applyNumberFormat="1" applyFont="1"/>
    <xf numFmtId="10" fontId="0" fillId="0" borderId="0" xfId="2" applyNumberFormat="1" applyFont="1" applyAlignment="1">
      <alignment horizontal="right"/>
    </xf>
    <xf numFmtId="43" fontId="2" fillId="0" borderId="0" xfId="1" applyFont="1" applyFill="1" applyBorder="1"/>
    <xf numFmtId="43" fontId="14" fillId="10" borderId="0" xfId="1" applyFont="1" applyFill="1" applyAlignment="1">
      <alignment horizontal="right"/>
    </xf>
    <xf numFmtId="43" fontId="2" fillId="0" borderId="9" xfId="0" applyNumberFormat="1" applyFont="1" applyBorder="1"/>
    <xf numFmtId="43" fontId="0" fillId="0" borderId="3" xfId="1" applyFont="1" applyBorder="1"/>
    <xf numFmtId="3" fontId="2" fillId="0" borderId="3" xfId="0" applyNumberFormat="1" applyFont="1" applyBorder="1"/>
    <xf numFmtId="0" fontId="25" fillId="0" borderId="0" xfId="0" applyFont="1"/>
    <xf numFmtId="0" fontId="26" fillId="0" borderId="0" xfId="0" applyFont="1"/>
    <xf numFmtId="0" fontId="0" fillId="0" borderId="0" xfId="0" applyAlignment="1">
      <alignment horizontal="left" indent="1"/>
    </xf>
    <xf numFmtId="0" fontId="0" fillId="0" borderId="0" xfId="0" applyAlignment="1">
      <alignment horizontal="left" wrapText="1" indent="1"/>
    </xf>
    <xf numFmtId="0" fontId="27" fillId="0" borderId="0" xfId="0" applyFont="1"/>
    <xf numFmtId="10" fontId="0" fillId="0" borderId="0" xfId="2" applyNumberFormat="1" applyFont="1" applyFill="1" applyAlignment="1">
      <alignment horizontal="right" indent="1"/>
    </xf>
    <xf numFmtId="43" fontId="0" fillId="10" borderId="0" xfId="1" applyFont="1" applyFill="1"/>
    <xf numFmtId="43" fontId="4" fillId="19" borderId="0" xfId="1" applyFont="1" applyFill="1"/>
    <xf numFmtId="3" fontId="0" fillId="0" borderId="0" xfId="0" applyNumberFormat="1" applyAlignment="1">
      <alignment horizontal="right"/>
    </xf>
    <xf numFmtId="0" fontId="2" fillId="14" borderId="0" xfId="0" applyFont="1" applyFill="1"/>
    <xf numFmtId="10" fontId="2" fillId="2" borderId="0" xfId="2" applyNumberFormat="1" applyFont="1" applyFill="1"/>
    <xf numFmtId="43" fontId="21" fillId="0" borderId="0" xfId="1" applyFont="1" applyFill="1" applyAlignment="1">
      <alignment horizontal="left"/>
    </xf>
    <xf numFmtId="166" fontId="21" fillId="0" borderId="0" xfId="2" applyNumberFormat="1" applyFont="1" applyFill="1" applyAlignment="1">
      <alignment horizontal="right"/>
    </xf>
    <xf numFmtId="43" fontId="21" fillId="2" borderId="0" xfId="1" applyFont="1" applyFill="1" applyAlignment="1">
      <alignment horizontal="left"/>
    </xf>
    <xf numFmtId="166" fontId="21" fillId="2" borderId="0" xfId="1" applyNumberFormat="1" applyFont="1" applyFill="1" applyAlignment="1">
      <alignment horizontal="left"/>
    </xf>
    <xf numFmtId="168" fontId="0" fillId="0" borderId="0" xfId="2" applyNumberFormat="1" applyFont="1" applyAlignment="1">
      <alignment horizontal="right"/>
    </xf>
    <xf numFmtId="168" fontId="0" fillId="0" borderId="0" xfId="0" applyNumberFormat="1"/>
    <xf numFmtId="167" fontId="0" fillId="0" borderId="0" xfId="0" applyNumberFormat="1"/>
    <xf numFmtId="9" fontId="0" fillId="0" borderId="0" xfId="2" applyFont="1" applyBorder="1"/>
    <xf numFmtId="165" fontId="0" fillId="0" borderId="0" xfId="2" applyNumberFormat="1" applyFont="1" applyBorder="1"/>
    <xf numFmtId="43" fontId="2" fillId="0" borderId="3" xfId="0" applyNumberFormat="1" applyFont="1" applyBorder="1"/>
    <xf numFmtId="0" fontId="2" fillId="4" borderId="0" xfId="0" applyFont="1" applyFill="1"/>
    <xf numFmtId="10" fontId="0" fillId="0" borderId="0" xfId="1" applyNumberFormat="1" applyFont="1" applyFill="1"/>
    <xf numFmtId="0" fontId="19" fillId="21" borderId="0" xfId="0" applyFont="1" applyFill="1"/>
    <xf numFmtId="43" fontId="0" fillId="21" borderId="0" xfId="1" applyFont="1" applyFill="1"/>
    <xf numFmtId="0" fontId="0" fillId="21" borderId="0" xfId="0" applyFill="1"/>
    <xf numFmtId="43" fontId="0" fillId="21" borderId="0" xfId="0" applyNumberFormat="1" applyFill="1"/>
    <xf numFmtId="0" fontId="0" fillId="21" borderId="0" xfId="0" applyFill="1" applyAlignment="1">
      <alignment horizontal="right"/>
    </xf>
    <xf numFmtId="0" fontId="29" fillId="0" borderId="0" xfId="0" applyFont="1"/>
    <xf numFmtId="0" fontId="0" fillId="0" borderId="17" xfId="0" applyBorder="1"/>
    <xf numFmtId="43" fontId="0" fillId="10" borderId="0" xfId="0" applyNumberFormat="1" applyFill="1" applyAlignment="1">
      <alignment horizontal="right"/>
    </xf>
    <xf numFmtId="3" fontId="2" fillId="10" borderId="3" xfId="0" applyNumberFormat="1" applyFont="1" applyFill="1" applyBorder="1"/>
    <xf numFmtId="3" fontId="0" fillId="10" borderId="0" xfId="0" applyNumberFormat="1" applyFill="1"/>
    <xf numFmtId="43" fontId="14" fillId="0" borderId="0" xfId="0" applyNumberFormat="1" applyFont="1"/>
    <xf numFmtId="43" fontId="2" fillId="2" borderId="0" xfId="0" applyNumberFormat="1" applyFont="1" applyFill="1"/>
    <xf numFmtId="0" fontId="2" fillId="0" borderId="2" xfId="0" applyFont="1" applyBorder="1"/>
    <xf numFmtId="0" fontId="0" fillId="0" borderId="1" xfId="0" applyBorder="1"/>
    <xf numFmtId="0" fontId="0" fillId="0" borderId="2" xfId="0" applyBorder="1"/>
    <xf numFmtId="43" fontId="13" fillId="0" borderId="0" xfId="1" applyFont="1" applyFill="1" applyBorder="1"/>
    <xf numFmtId="43" fontId="13" fillId="19" borderId="0" xfId="1" applyFont="1" applyFill="1"/>
    <xf numFmtId="0" fontId="9" fillId="19" borderId="0" xfId="0" applyFont="1" applyFill="1"/>
    <xf numFmtId="10" fontId="9" fillId="19" borderId="0" xfId="2" applyNumberFormat="1" applyFont="1" applyFill="1"/>
    <xf numFmtId="10" fontId="13" fillId="19" borderId="0" xfId="2" applyNumberFormat="1" applyFont="1" applyFill="1"/>
    <xf numFmtId="10" fontId="0" fillId="19" borderId="0" xfId="0" applyNumberFormat="1" applyFill="1"/>
    <xf numFmtId="0" fontId="30" fillId="0" borderId="0" xfId="0" applyFont="1"/>
    <xf numFmtId="0" fontId="2" fillId="0" borderId="1" xfId="0" applyFont="1" applyBorder="1" applyAlignment="1">
      <alignment horizontal="right"/>
    </xf>
    <xf numFmtId="0" fontId="2" fillId="0" borderId="8" xfId="0" applyFont="1" applyBorder="1" applyAlignment="1">
      <alignment horizontal="right"/>
    </xf>
    <xf numFmtId="0" fontId="0" fillId="20" borderId="1" xfId="0" applyFill="1" applyBorder="1"/>
    <xf numFmtId="43" fontId="0" fillId="20" borderId="1" xfId="0" applyNumberFormat="1" applyFill="1" applyBorder="1"/>
    <xf numFmtId="43" fontId="0" fillId="20" borderId="1" xfId="4" applyNumberFormat="1" applyFont="1" applyFill="1" applyBorder="1"/>
    <xf numFmtId="3" fontId="0" fillId="20" borderId="0" xfId="0" applyNumberFormat="1" applyFill="1"/>
    <xf numFmtId="43" fontId="0" fillId="0" borderId="1" xfId="0" applyNumberFormat="1" applyBorder="1"/>
    <xf numFmtId="43" fontId="0" fillId="0" borderId="1" xfId="4" applyNumberFormat="1" applyFont="1" applyFill="1" applyBorder="1"/>
    <xf numFmtId="43" fontId="0" fillId="0" borderId="1" xfId="4" applyNumberFormat="1" applyFont="1" applyBorder="1"/>
    <xf numFmtId="3" fontId="0" fillId="0" borderId="1" xfId="0" applyNumberFormat="1" applyBorder="1"/>
    <xf numFmtId="0" fontId="0" fillId="20" borderId="2" xfId="0" applyFill="1" applyBorder="1"/>
    <xf numFmtId="169" fontId="0" fillId="20" borderId="1" xfId="0" applyNumberFormat="1" applyFill="1" applyBorder="1"/>
    <xf numFmtId="169" fontId="0" fillId="0" borderId="0" xfId="0" applyNumberFormat="1"/>
    <xf numFmtId="169" fontId="0" fillId="0" borderId="1" xfId="0" applyNumberFormat="1" applyBorder="1"/>
    <xf numFmtId="0" fontId="30" fillId="22" borderId="0" xfId="0" applyFont="1" applyFill="1"/>
    <xf numFmtId="0" fontId="2" fillId="23" borderId="1" xfId="0" applyFont="1" applyFill="1" applyBorder="1" applyAlignment="1">
      <alignment horizontal="right" vertical="center"/>
    </xf>
    <xf numFmtId="169" fontId="0" fillId="23" borderId="1" xfId="0" applyNumberFormat="1" applyFill="1" applyBorder="1" applyAlignment="1">
      <alignment horizontal="right" vertical="center"/>
    </xf>
    <xf numFmtId="0" fontId="0" fillId="23" borderId="1" xfId="0" applyFill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169" fontId="0" fillId="2" borderId="1" xfId="0" applyNumberFormat="1" applyFill="1" applyBorder="1" applyAlignment="1">
      <alignment horizontal="right" vertical="center"/>
    </xf>
    <xf numFmtId="0" fontId="0" fillId="2" borderId="1" xfId="0" applyFill="1" applyBorder="1" applyAlignment="1">
      <alignment horizontal="right" vertical="center"/>
    </xf>
    <xf numFmtId="169" fontId="0" fillId="2" borderId="0" xfId="0" applyNumberFormat="1" applyFill="1"/>
    <xf numFmtId="43" fontId="0" fillId="23" borderId="1" xfId="0" applyNumberFormat="1" applyFill="1" applyBorder="1" applyAlignment="1">
      <alignment horizontal="right" vertical="center"/>
    </xf>
    <xf numFmtId="43" fontId="0" fillId="2" borderId="3" xfId="0" applyNumberFormat="1" applyFill="1" applyBorder="1"/>
    <xf numFmtId="43" fontId="0" fillId="2" borderId="10" xfId="0" applyNumberFormat="1" applyFill="1" applyBorder="1"/>
    <xf numFmtId="43" fontId="0" fillId="2" borderId="1" xfId="0" applyNumberFormat="1" applyFill="1" applyBorder="1" applyAlignment="1">
      <alignment horizontal="right" vertical="center"/>
    </xf>
    <xf numFmtId="43" fontId="0" fillId="2" borderId="17" xfId="0" applyNumberFormat="1" applyFill="1" applyBorder="1"/>
    <xf numFmtId="43" fontId="0" fillId="7" borderId="18" xfId="0" applyNumberFormat="1" applyFill="1" applyBorder="1" applyAlignment="1">
      <alignment horizontal="right" vertical="center"/>
    </xf>
    <xf numFmtId="43" fontId="0" fillId="2" borderId="18" xfId="0" applyNumberFormat="1" applyFill="1" applyBorder="1" applyAlignment="1">
      <alignment horizontal="right" vertical="center"/>
    </xf>
    <xf numFmtId="0" fontId="2" fillId="0" borderId="16" xfId="0" applyFont="1" applyBorder="1"/>
    <xf numFmtId="43" fontId="0" fillId="0" borderId="2" xfId="0" applyNumberFormat="1" applyBorder="1" applyAlignment="1">
      <alignment horizontal="right"/>
    </xf>
    <xf numFmtId="43" fontId="0" fillId="0" borderId="4" xfId="0" applyNumberFormat="1" applyBorder="1"/>
    <xf numFmtId="43" fontId="0" fillId="0" borderId="1" xfId="0" applyNumberFormat="1" applyBorder="1" applyAlignment="1">
      <alignment horizontal="right"/>
    </xf>
    <xf numFmtId="43" fontId="2" fillId="0" borderId="1" xfId="0" applyNumberFormat="1" applyFont="1" applyBorder="1"/>
    <xf numFmtId="43" fontId="2" fillId="0" borderId="0" xfId="0" applyNumberFormat="1" applyFont="1"/>
    <xf numFmtId="3" fontId="2" fillId="0" borderId="0" xfId="0" applyNumberFormat="1" applyFont="1"/>
    <xf numFmtId="2" fontId="2" fillId="0" borderId="0" xfId="0" applyNumberFormat="1" applyFont="1"/>
    <xf numFmtId="4" fontId="0" fillId="0" borderId="2" xfId="0" applyNumberFormat="1" applyBorder="1"/>
    <xf numFmtId="2" fontId="0" fillId="0" borderId="1" xfId="0" applyNumberFormat="1" applyBorder="1"/>
    <xf numFmtId="2" fontId="2" fillId="0" borderId="1" xfId="0" applyNumberFormat="1" applyFont="1" applyBorder="1"/>
    <xf numFmtId="3" fontId="0" fillId="0" borderId="7" xfId="0" applyNumberFormat="1" applyBorder="1"/>
    <xf numFmtId="4" fontId="0" fillId="0" borderId="7" xfId="0" applyNumberFormat="1" applyBorder="1"/>
    <xf numFmtId="3" fontId="2" fillId="0" borderId="1" xfId="0" applyNumberFormat="1" applyFont="1" applyBorder="1"/>
    <xf numFmtId="43" fontId="0" fillId="0" borderId="1" xfId="1" applyFont="1" applyBorder="1"/>
    <xf numFmtId="43" fontId="0" fillId="0" borderId="1" xfId="1" applyFont="1" applyFill="1" applyBorder="1"/>
    <xf numFmtId="43" fontId="0" fillId="0" borderId="1" xfId="1" applyFont="1" applyBorder="1" applyAlignment="1">
      <alignment horizontal="right"/>
    </xf>
    <xf numFmtId="0" fontId="0" fillId="7" borderId="1" xfId="0" applyFill="1" applyBorder="1"/>
    <xf numFmtId="43" fontId="0" fillId="7" borderId="1" xfId="1" applyFont="1" applyFill="1" applyBorder="1"/>
    <xf numFmtId="0" fontId="0" fillId="7" borderId="1" xfId="1" applyNumberFormat="1" applyFont="1" applyFill="1" applyBorder="1"/>
    <xf numFmtId="43" fontId="2" fillId="0" borderId="10" xfId="1" applyFont="1" applyBorder="1" applyAlignment="1">
      <alignment horizontal="right"/>
    </xf>
    <xf numFmtId="43" fontId="2" fillId="0" borderId="10" xfId="1" applyFont="1" applyBorder="1"/>
    <xf numFmtId="0" fontId="2" fillId="0" borderId="10" xfId="0" applyFont="1" applyBorder="1"/>
    <xf numFmtId="3" fontId="2" fillId="0" borderId="10" xfId="1" applyNumberFormat="1" applyFont="1" applyBorder="1"/>
    <xf numFmtId="43" fontId="2" fillId="2" borderId="0" xfId="1" applyFont="1" applyFill="1"/>
    <xf numFmtId="43" fontId="1" fillId="0" borderId="0" xfId="1" applyFont="1" applyFill="1" applyAlignment="1">
      <alignment horizontal="right"/>
    </xf>
    <xf numFmtId="170" fontId="0" fillId="0" borderId="0" xfId="0" applyNumberFormat="1"/>
    <xf numFmtId="170" fontId="0" fillId="0" borderId="0" xfId="2" applyNumberFormat="1" applyFont="1"/>
    <xf numFmtId="170" fontId="0" fillId="0" borderId="0" xfId="0" applyNumberFormat="1" applyAlignment="1">
      <alignment horizontal="right"/>
    </xf>
    <xf numFmtId="43" fontId="2" fillId="0" borderId="0" xfId="0" applyNumberFormat="1" applyFont="1" applyAlignment="1">
      <alignment horizontal="right"/>
    </xf>
    <xf numFmtId="43" fontId="2" fillId="0" borderId="0" xfId="1" applyFont="1" applyFill="1" applyAlignment="1">
      <alignment horizontal="right"/>
    </xf>
    <xf numFmtId="10" fontId="14" fillId="0" borderId="0" xfId="2" applyNumberFormat="1" applyFont="1" applyFill="1"/>
    <xf numFmtId="10" fontId="0" fillId="19" borderId="0" xfId="2" applyNumberFormat="1" applyFont="1" applyFill="1" applyAlignment="1">
      <alignment horizontal="right"/>
    </xf>
    <xf numFmtId="4" fontId="0" fillId="19" borderId="0" xfId="0" applyNumberFormat="1" applyFill="1" applyAlignment="1">
      <alignment horizontal="right"/>
    </xf>
    <xf numFmtId="4" fontId="2" fillId="19" borderId="3" xfId="0" applyNumberFormat="1" applyFont="1" applyFill="1" applyBorder="1"/>
    <xf numFmtId="4" fontId="2" fillId="19" borderId="0" xfId="0" applyNumberFormat="1" applyFont="1" applyFill="1" applyAlignment="1">
      <alignment horizontal="right"/>
    </xf>
    <xf numFmtId="4" fontId="0" fillId="19" borderId="0" xfId="1" applyNumberFormat="1" applyFont="1" applyFill="1" applyBorder="1"/>
    <xf numFmtId="4" fontId="0" fillId="19" borderId="0" xfId="0" applyNumberFormat="1" applyFill="1"/>
    <xf numFmtId="4" fontId="2" fillId="19" borderId="9" xfId="0" applyNumberFormat="1" applyFont="1" applyFill="1" applyBorder="1"/>
    <xf numFmtId="43" fontId="0" fillId="0" borderId="0" xfId="1" applyFont="1" applyFill="1" applyBorder="1"/>
    <xf numFmtId="43" fontId="2" fillId="0" borderId="3" xfId="1" applyFont="1" applyFill="1" applyBorder="1" applyAlignment="1">
      <alignment horizontal="right"/>
    </xf>
    <xf numFmtId="43" fontId="2" fillId="0" borderId="0" xfId="1" applyFont="1" applyFill="1"/>
    <xf numFmtId="43" fontId="14" fillId="19" borderId="0" xfId="1" applyFont="1" applyFill="1"/>
    <xf numFmtId="43" fontId="2" fillId="19" borderId="3" xfId="1" applyFont="1" applyFill="1" applyBorder="1"/>
    <xf numFmtId="43" fontId="2" fillId="19" borderId="0" xfId="1" applyFont="1" applyFill="1"/>
    <xf numFmtId="43" fontId="0" fillId="19" borderId="0" xfId="1" applyFont="1" applyFill="1" applyAlignment="1">
      <alignment horizontal="right"/>
    </xf>
    <xf numFmtId="43" fontId="2" fillId="19" borderId="10" xfId="1" applyFont="1" applyFill="1" applyBorder="1"/>
    <xf numFmtId="43" fontId="0" fillId="19" borderId="10" xfId="0" applyNumberFormat="1" applyFill="1" applyBorder="1"/>
    <xf numFmtId="43" fontId="0" fillId="19" borderId="0" xfId="0" applyNumberFormat="1" applyFill="1"/>
    <xf numFmtId="43" fontId="2" fillId="19" borderId="0" xfId="1" applyFont="1" applyFill="1" applyAlignment="1">
      <alignment horizontal="right"/>
    </xf>
    <xf numFmtId="43" fontId="2" fillId="19" borderId="9" xfId="1" applyFont="1" applyFill="1" applyBorder="1" applyAlignment="1">
      <alignment horizontal="right"/>
    </xf>
    <xf numFmtId="43" fontId="5" fillId="19" borderId="0" xfId="1" applyFont="1" applyFill="1" applyAlignment="1">
      <alignment horizontal="right"/>
    </xf>
    <xf numFmtId="43" fontId="2" fillId="0" borderId="9" xfId="1" applyFont="1" applyFill="1" applyBorder="1" applyAlignment="1">
      <alignment horizontal="left"/>
    </xf>
    <xf numFmtId="43" fontId="2" fillId="0" borderId="9" xfId="1" applyFont="1" applyFill="1" applyBorder="1" applyAlignment="1">
      <alignment horizontal="right"/>
    </xf>
    <xf numFmtId="43" fontId="5" fillId="0" borderId="0" xfId="1" applyFont="1" applyFill="1" applyAlignment="1">
      <alignment horizontal="right"/>
    </xf>
    <xf numFmtId="166" fontId="2" fillId="0" borderId="0" xfId="2" applyNumberFormat="1" applyFont="1" applyFill="1"/>
    <xf numFmtId="0" fontId="2" fillId="9" borderId="0" xfId="0" applyFont="1" applyFill="1"/>
    <xf numFmtId="10" fontId="2" fillId="9" borderId="0" xfId="2" applyNumberFormat="1" applyFont="1" applyFill="1"/>
    <xf numFmtId="9" fontId="2" fillId="9" borderId="0" xfId="2" applyFont="1" applyFill="1"/>
    <xf numFmtId="10" fontId="4" fillId="0" borderId="0" xfId="2" applyNumberFormat="1" applyFont="1" applyFill="1"/>
    <xf numFmtId="0" fontId="0" fillId="0" borderId="3" xfId="0" applyBorder="1"/>
    <xf numFmtId="10" fontId="0" fillId="21" borderId="0" xfId="0" applyNumberFormat="1" applyFill="1"/>
    <xf numFmtId="0" fontId="0" fillId="18" borderId="0" xfId="0" applyFill="1" applyAlignment="1">
      <alignment horizontal="center"/>
    </xf>
    <xf numFmtId="0" fontId="2" fillId="15" borderId="0" xfId="0" applyFont="1" applyFill="1"/>
    <xf numFmtId="10" fontId="2" fillId="15" borderId="0" xfId="2" applyNumberFormat="1" applyFont="1" applyFill="1"/>
    <xf numFmtId="0" fontId="28" fillId="0" borderId="0" xfId="0" applyFont="1"/>
    <xf numFmtId="0" fontId="2" fillId="15" borderId="3" xfId="0" applyFont="1" applyFill="1" applyBorder="1"/>
    <xf numFmtId="10" fontId="2" fillId="15" borderId="3" xfId="2" applyNumberFormat="1" applyFont="1" applyFill="1" applyBorder="1"/>
    <xf numFmtId="9" fontId="2" fillId="15" borderId="0" xfId="2" applyFont="1" applyFill="1"/>
    <xf numFmtId="0" fontId="6" fillId="15" borderId="9" xfId="0" applyFont="1" applyFill="1" applyBorder="1"/>
    <xf numFmtId="10" fontId="6" fillId="15" borderId="9" xfId="2" applyNumberFormat="1" applyFont="1" applyFill="1" applyBorder="1"/>
    <xf numFmtId="9" fontId="2" fillId="0" borderId="0" xfId="2" applyFont="1" applyBorder="1"/>
    <xf numFmtId="43" fontId="2" fillId="18" borderId="0" xfId="0" applyNumberFormat="1" applyFont="1" applyFill="1"/>
    <xf numFmtId="0" fontId="0" fillId="0" borderId="0" xfId="0" applyFill="1"/>
    <xf numFmtId="43" fontId="0" fillId="21" borderId="3" xfId="0" applyNumberFormat="1" applyFill="1" applyBorder="1"/>
    <xf numFmtId="43" fontId="0" fillId="21" borderId="17" xfId="0" applyNumberFormat="1" applyFill="1" applyBorder="1"/>
    <xf numFmtId="0" fontId="0" fillId="15" borderId="0" xfId="0" applyFill="1"/>
    <xf numFmtId="10" fontId="0" fillId="19" borderId="0" xfId="2" applyNumberFormat="1" applyFont="1" applyFill="1"/>
    <xf numFmtId="166" fontId="0" fillId="19" borderId="0" xfId="0" applyNumberFormat="1" applyFill="1"/>
    <xf numFmtId="170" fontId="0" fillId="19" borderId="0" xfId="0" applyNumberFormat="1" applyFill="1"/>
    <xf numFmtId="170" fontId="0" fillId="19" borderId="0" xfId="2" applyNumberFormat="1" applyFont="1" applyFill="1"/>
    <xf numFmtId="170" fontId="0" fillId="19" borderId="0" xfId="1" applyNumberFormat="1" applyFont="1" applyFill="1"/>
    <xf numFmtId="170" fontId="0" fillId="0" borderId="0" xfId="0" applyNumberFormat="1" applyFill="1"/>
    <xf numFmtId="43" fontId="0" fillId="19" borderId="9" xfId="0" applyNumberFormat="1" applyFill="1" applyBorder="1"/>
    <xf numFmtId="43" fontId="0" fillId="19" borderId="0" xfId="2" applyNumberFormat="1" applyFont="1" applyFill="1"/>
    <xf numFmtId="41" fontId="0" fillId="0" borderId="0" xfId="0" applyNumberFormat="1" applyFill="1"/>
    <xf numFmtId="9" fontId="0" fillId="0" borderId="0" xfId="2" applyFont="1" applyFill="1"/>
    <xf numFmtId="43" fontId="0" fillId="19" borderId="3" xfId="0" applyNumberFormat="1" applyFill="1" applyBorder="1"/>
    <xf numFmtId="43" fontId="26" fillId="0" borderId="0" xfId="1" applyFont="1" applyFill="1"/>
    <xf numFmtId="43" fontId="0" fillId="0" borderId="17" xfId="1" applyFont="1" applyFill="1" applyBorder="1"/>
    <xf numFmtId="9" fontId="0" fillId="0" borderId="0" xfId="2" applyFont="1" applyFill="1" applyBorder="1"/>
    <xf numFmtId="43" fontId="0" fillId="0" borderId="5" xfId="1" applyFont="1" applyFill="1" applyBorder="1"/>
    <xf numFmtId="43" fontId="26" fillId="0" borderId="5" xfId="1" applyFont="1" applyFill="1" applyBorder="1"/>
    <xf numFmtId="43" fontId="0" fillId="0" borderId="3" xfId="1" applyFont="1" applyFill="1" applyBorder="1"/>
    <xf numFmtId="0" fontId="26" fillId="0" borderId="0" xfId="0" applyFont="1" applyFill="1"/>
    <xf numFmtId="43" fontId="26" fillId="0" borderId="0" xfId="1" applyFont="1" applyFill="1" applyAlignment="1">
      <alignment horizontal="right"/>
    </xf>
    <xf numFmtId="43" fontId="27" fillId="0" borderId="0" xfId="0" applyNumberFormat="1" applyFont="1" applyFill="1"/>
    <xf numFmtId="10" fontId="26" fillId="0" borderId="0" xfId="1" applyNumberFormat="1" applyFont="1" applyFill="1"/>
    <xf numFmtId="43" fontId="26" fillId="0" borderId="0" xfId="1" applyFont="1" applyFill="1" applyAlignment="1">
      <alignment horizontal="right" indent="1"/>
    </xf>
    <xf numFmtId="43" fontId="0" fillId="0" borderId="0" xfId="1" applyFont="1" applyFill="1" applyAlignment="1">
      <alignment horizontal="right" indent="1"/>
    </xf>
    <xf numFmtId="43" fontId="0" fillId="0" borderId="17" xfId="1" applyFont="1" applyFill="1" applyBorder="1" applyAlignment="1">
      <alignment horizontal="left" indent="1"/>
    </xf>
    <xf numFmtId="43" fontId="26" fillId="0" borderId="0" xfId="1" applyFont="1" applyFill="1" applyBorder="1" applyAlignment="1">
      <alignment horizontal="right" indent="1"/>
    </xf>
    <xf numFmtId="43" fontId="0" fillId="0" borderId="0" xfId="1" applyFont="1" applyFill="1" applyBorder="1" applyAlignment="1">
      <alignment horizontal="right"/>
    </xf>
    <xf numFmtId="43" fontId="26" fillId="0" borderId="0" xfId="1" applyFont="1" applyFill="1" applyBorder="1" applyAlignment="1">
      <alignment horizontal="right"/>
    </xf>
    <xf numFmtId="10" fontId="0" fillId="0" borderId="0" xfId="2" applyNumberFormat="1" applyFont="1" applyFill="1" applyBorder="1" applyAlignment="1">
      <alignment horizontal="right"/>
    </xf>
    <xf numFmtId="10" fontId="0" fillId="0" borderId="0" xfId="1" applyNumberFormat="1" applyFont="1" applyFill="1" applyBorder="1" applyAlignment="1">
      <alignment horizontal="right"/>
    </xf>
    <xf numFmtId="10" fontId="26" fillId="0" borderId="0" xfId="1" applyNumberFormat="1" applyFont="1" applyFill="1" applyBorder="1" applyAlignment="1">
      <alignment horizontal="right"/>
    </xf>
    <xf numFmtId="43" fontId="0" fillId="0" borderId="17" xfId="1" applyFont="1" applyFill="1" applyBorder="1" applyAlignment="1">
      <alignment horizontal="right"/>
    </xf>
    <xf numFmtId="10" fontId="0" fillId="0" borderId="0" xfId="1" applyNumberFormat="1" applyFont="1" applyFill="1" applyAlignment="1">
      <alignment horizontal="right"/>
    </xf>
    <xf numFmtId="10" fontId="26" fillId="0" borderId="0" xfId="1" applyNumberFormat="1" applyFont="1" applyFill="1" applyAlignment="1">
      <alignment horizontal="right"/>
    </xf>
    <xf numFmtId="43" fontId="26" fillId="0" borderId="0" xfId="1" applyFont="1" applyFill="1" applyBorder="1"/>
    <xf numFmtId="10" fontId="0" fillId="0" borderId="0" xfId="2" applyNumberFormat="1" applyFont="1" applyFill="1" applyBorder="1"/>
    <xf numFmtId="43" fontId="26" fillId="19" borderId="0" xfId="1" applyFont="1" applyFill="1"/>
    <xf numFmtId="9" fontId="26" fillId="19" borderId="0" xfId="1" applyNumberFormat="1" applyFont="1" applyFill="1"/>
    <xf numFmtId="43" fontId="0" fillId="19" borderId="17" xfId="1" applyFont="1" applyFill="1" applyBorder="1"/>
    <xf numFmtId="9" fontId="0" fillId="19" borderId="0" xfId="1" applyNumberFormat="1" applyFont="1" applyFill="1" applyBorder="1"/>
    <xf numFmtId="43" fontId="26" fillId="19" borderId="5" xfId="1" applyFont="1" applyFill="1" applyBorder="1"/>
    <xf numFmtId="43" fontId="0" fillId="19" borderId="3" xfId="1" applyFont="1" applyFill="1" applyBorder="1"/>
    <xf numFmtId="0" fontId="26" fillId="19" borderId="0" xfId="0" applyFont="1" applyFill="1"/>
    <xf numFmtId="43" fontId="27" fillId="19" borderId="0" xfId="0" applyNumberFormat="1" applyFont="1" applyFill="1"/>
    <xf numFmtId="10" fontId="26" fillId="19" borderId="0" xfId="1" applyNumberFormat="1" applyFont="1" applyFill="1"/>
    <xf numFmtId="43" fontId="26" fillId="19" borderId="0" xfId="1" applyFont="1" applyFill="1" applyAlignment="1">
      <alignment horizontal="right" indent="1"/>
    </xf>
    <xf numFmtId="43" fontId="0" fillId="19" borderId="0" xfId="1" applyFont="1" applyFill="1" applyAlignment="1">
      <alignment horizontal="right" indent="1"/>
    </xf>
    <xf numFmtId="10" fontId="0" fillId="19" borderId="0" xfId="2" applyNumberFormat="1" applyFont="1" applyFill="1" applyAlignment="1">
      <alignment horizontal="right" indent="1"/>
    </xf>
    <xf numFmtId="43" fontId="0" fillId="19" borderId="17" xfId="1" applyFont="1" applyFill="1" applyBorder="1" applyAlignment="1">
      <alignment horizontal="left" indent="1"/>
    </xf>
    <xf numFmtId="43" fontId="26" fillId="19" borderId="0" xfId="1" applyFont="1" applyFill="1" applyBorder="1" applyAlignment="1">
      <alignment horizontal="right" indent="1"/>
    </xf>
    <xf numFmtId="43" fontId="26" fillId="19" borderId="0" xfId="1" applyFont="1" applyFill="1" applyBorder="1" applyAlignment="1">
      <alignment horizontal="right"/>
    </xf>
    <xf numFmtId="10" fontId="26" fillId="19" borderId="0" xfId="1" applyNumberFormat="1" applyFont="1" applyFill="1" applyBorder="1" applyAlignment="1">
      <alignment horizontal="right"/>
    </xf>
    <xf numFmtId="43" fontId="0" fillId="19" borderId="17" xfId="1" applyFont="1" applyFill="1" applyBorder="1" applyAlignment="1">
      <alignment horizontal="right"/>
    </xf>
    <xf numFmtId="43" fontId="26" fillId="19" borderId="0" xfId="1" applyFont="1" applyFill="1" applyAlignment="1">
      <alignment horizontal="right"/>
    </xf>
    <xf numFmtId="10" fontId="0" fillId="19" borderId="0" xfId="1" applyNumberFormat="1" applyFont="1" applyFill="1" applyAlignment="1">
      <alignment horizontal="right"/>
    </xf>
    <xf numFmtId="10" fontId="26" fillId="19" borderId="0" xfId="1" applyNumberFormat="1" applyFont="1" applyFill="1" applyAlignment="1">
      <alignment horizontal="right"/>
    </xf>
    <xf numFmtId="43" fontId="26" fillId="19" borderId="0" xfId="1" applyFont="1" applyFill="1" applyBorder="1"/>
    <xf numFmtId="10" fontId="26" fillId="19" borderId="0" xfId="1" applyNumberFormat="1" applyFont="1" applyFill="1" applyBorder="1"/>
    <xf numFmtId="0" fontId="0" fillId="0" borderId="15" xfId="0" applyFill="1" applyBorder="1"/>
    <xf numFmtId="0" fontId="0" fillId="0" borderId="5" xfId="0" applyFill="1" applyBorder="1" applyAlignment="1">
      <alignment horizontal="right"/>
    </xf>
    <xf numFmtId="0" fontId="2" fillId="0" borderId="0" xfId="0" applyFont="1" applyFill="1"/>
    <xf numFmtId="0" fontId="0" fillId="0" borderId="11" xfId="0" applyFill="1" applyBorder="1"/>
    <xf numFmtId="9" fontId="0" fillId="0" borderId="10" xfId="0" applyNumberFormat="1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13" xfId="0" applyFill="1" applyBorder="1"/>
    <xf numFmtId="0" fontId="0" fillId="0" borderId="0" xfId="0" applyFill="1" applyAlignment="1">
      <alignment horizontal="right"/>
    </xf>
    <xf numFmtId="0" fontId="2" fillId="0" borderId="0" xfId="0" applyFont="1" applyFill="1" applyAlignment="1">
      <alignment horizontal="right"/>
    </xf>
    <xf numFmtId="4" fontId="0" fillId="0" borderId="0" xfId="0" applyNumberFormat="1" applyFill="1"/>
    <xf numFmtId="4" fontId="0" fillId="0" borderId="0" xfId="0" applyNumberFormat="1" applyFill="1" applyAlignment="1">
      <alignment horizontal="right"/>
    </xf>
    <xf numFmtId="0" fontId="0" fillId="0" borderId="3" xfId="0" applyFill="1" applyBorder="1"/>
    <xf numFmtId="4" fontId="2" fillId="0" borderId="3" xfId="0" applyNumberFormat="1" applyFont="1" applyFill="1" applyBorder="1"/>
    <xf numFmtId="4" fontId="2" fillId="0" borderId="0" xfId="0" applyNumberFormat="1" applyFont="1" applyFill="1"/>
    <xf numFmtId="4" fontId="2" fillId="0" borderId="0" xfId="0" applyNumberFormat="1" applyFont="1" applyFill="1" applyAlignment="1">
      <alignment horizontal="right"/>
    </xf>
    <xf numFmtId="0" fontId="2" fillId="0" borderId="9" xfId="0" applyFont="1" applyFill="1" applyBorder="1"/>
    <xf numFmtId="4" fontId="2" fillId="0" borderId="9" xfId="0" applyNumberFormat="1" applyFont="1" applyFill="1" applyBorder="1"/>
    <xf numFmtId="3" fontId="0" fillId="0" borderId="0" xfId="0" applyNumberFormat="1" applyFill="1"/>
    <xf numFmtId="43" fontId="0" fillId="0" borderId="10" xfId="1" applyFont="1" applyFill="1" applyBorder="1"/>
    <xf numFmtId="0" fontId="31" fillId="4" borderId="0" xfId="0" applyFont="1" applyFill="1" applyAlignment="1">
      <alignment horizontal="left"/>
    </xf>
    <xf numFmtId="0" fontId="31" fillId="4" borderId="0" xfId="0" applyFont="1" applyFill="1"/>
    <xf numFmtId="0" fontId="0" fillId="4" borderId="0" xfId="0" applyFill="1" applyAlignment="1">
      <alignment horizontal="left"/>
    </xf>
    <xf numFmtId="10" fontId="0" fillId="0" borderId="0" xfId="0" applyNumberFormat="1" applyBorder="1"/>
    <xf numFmtId="0" fontId="0" fillId="0" borderId="0" xfId="0" applyBorder="1"/>
    <xf numFmtId="0" fontId="2" fillId="0" borderId="0" xfId="0" applyFont="1" applyBorder="1"/>
    <xf numFmtId="0" fontId="0" fillId="0" borderId="0" xfId="0" applyFill="1" applyAlignment="1">
      <alignment horizontal="left"/>
    </xf>
    <xf numFmtId="0" fontId="16" fillId="0" borderId="0" xfId="0" applyFont="1" applyFill="1" applyAlignment="1">
      <alignment horizontal="left"/>
    </xf>
    <xf numFmtId="0" fontId="2" fillId="0" borderId="3" xfId="0" applyFont="1" applyFill="1" applyBorder="1" applyAlignment="1">
      <alignment horizontal="left"/>
    </xf>
    <xf numFmtId="0" fontId="2" fillId="0" borderId="0" xfId="0" applyFont="1" applyFill="1" applyAlignment="1">
      <alignment horizontal="left"/>
    </xf>
    <xf numFmtId="43" fontId="2" fillId="0" borderId="0" xfId="1" applyFont="1" applyFill="1" applyBorder="1" applyAlignment="1">
      <alignment horizontal="right"/>
    </xf>
    <xf numFmtId="10" fontId="4" fillId="0" borderId="0" xfId="2" applyNumberFormat="1" applyFont="1" applyFill="1" applyAlignment="1">
      <alignment horizontal="left" indent="3"/>
    </xf>
    <xf numFmtId="10" fontId="4" fillId="0" borderId="0" xfId="2" applyNumberFormat="1" applyFont="1" applyFill="1" applyBorder="1" applyAlignment="1">
      <alignment horizontal="left" indent="3"/>
    </xf>
    <xf numFmtId="10" fontId="4" fillId="0" borderId="0" xfId="0" applyNumberFormat="1" applyFont="1" applyFill="1" applyAlignment="1">
      <alignment horizontal="left" indent="3"/>
    </xf>
    <xf numFmtId="10" fontId="4" fillId="0" borderId="0" xfId="1" applyNumberFormat="1" applyFont="1" applyFill="1" applyAlignment="1">
      <alignment horizontal="left" indent="3"/>
    </xf>
    <xf numFmtId="43" fontId="21" fillId="0" borderId="0" xfId="1" applyFont="1" applyFill="1" applyBorder="1"/>
    <xf numFmtId="0" fontId="2" fillId="19" borderId="0" xfId="0" applyFont="1" applyFill="1"/>
    <xf numFmtId="43" fontId="2" fillId="19" borderId="0" xfId="1" applyFont="1" applyFill="1" applyBorder="1"/>
    <xf numFmtId="43" fontId="2" fillId="19" borderId="3" xfId="1" applyFont="1" applyFill="1" applyBorder="1" applyAlignment="1">
      <alignment horizontal="right"/>
    </xf>
    <xf numFmtId="43" fontId="2" fillId="19" borderId="0" xfId="1" applyFont="1" applyFill="1" applyBorder="1" applyAlignment="1">
      <alignment horizontal="right"/>
    </xf>
    <xf numFmtId="10" fontId="4" fillId="19" borderId="0" xfId="1" applyNumberFormat="1" applyFont="1" applyFill="1" applyBorder="1" applyAlignment="1">
      <alignment horizontal="left" indent="3"/>
    </xf>
    <xf numFmtId="10" fontId="4" fillId="19" borderId="0" xfId="1" applyNumberFormat="1" applyFont="1" applyFill="1" applyAlignment="1">
      <alignment horizontal="left" indent="3"/>
    </xf>
    <xf numFmtId="43" fontId="21" fillId="19" borderId="0" xfId="1" applyFont="1" applyFill="1" applyBorder="1"/>
    <xf numFmtId="0" fontId="4" fillId="19" borderId="0" xfId="0" applyFont="1" applyFill="1"/>
    <xf numFmtId="43" fontId="4" fillId="19" borderId="0" xfId="1" applyFont="1" applyFill="1" applyBorder="1"/>
    <xf numFmtId="43" fontId="21" fillId="19" borderId="0" xfId="0" applyNumberFormat="1" applyFont="1" applyFill="1"/>
    <xf numFmtId="43" fontId="4" fillId="19" borderId="0" xfId="0" applyNumberFormat="1" applyFont="1" applyFill="1"/>
    <xf numFmtId="0" fontId="0" fillId="6" borderId="10" xfId="0" applyFill="1" applyBorder="1" applyAlignment="1">
      <alignment horizontal="left"/>
    </xf>
    <xf numFmtId="0" fontId="2" fillId="6" borderId="10" xfId="0" applyFont="1" applyFill="1" applyBorder="1"/>
    <xf numFmtId="0" fontId="19" fillId="6" borderId="10" xfId="0" applyFont="1" applyFill="1" applyBorder="1"/>
    <xf numFmtId="0" fontId="2" fillId="0" borderId="17" xfId="0" applyFont="1" applyBorder="1"/>
    <xf numFmtId="43" fontId="2" fillId="0" borderId="0" xfId="1" applyFont="1" applyAlignment="1">
      <alignment horizontal="center"/>
    </xf>
    <xf numFmtId="0" fontId="14" fillId="6" borderId="0" xfId="0" applyFont="1" applyFill="1"/>
    <xf numFmtId="0" fontId="12" fillId="6" borderId="0" xfId="0" applyFont="1" applyFill="1" applyAlignment="1">
      <alignment horizontal="right"/>
    </xf>
    <xf numFmtId="43" fontId="0" fillId="0" borderId="0" xfId="0" applyNumberFormat="1" applyFill="1" applyAlignment="1">
      <alignment horizontal="right" indent="1"/>
    </xf>
    <xf numFmtId="43" fontId="0" fillId="19" borderId="0" xfId="0" applyNumberFormat="1" applyFill="1" applyAlignment="1">
      <alignment horizontal="right" indent="1"/>
    </xf>
    <xf numFmtId="167" fontId="0" fillId="19" borderId="0" xfId="1" applyNumberFormat="1" applyFont="1" applyFill="1" applyBorder="1"/>
    <xf numFmtId="9" fontId="0" fillId="19" borderId="0" xfId="2" applyFont="1" applyFill="1" applyBorder="1"/>
    <xf numFmtId="9" fontId="0" fillId="19" borderId="0" xfId="2" applyFont="1" applyFill="1" applyBorder="1" applyAlignment="1">
      <alignment vertical="center"/>
    </xf>
    <xf numFmtId="10" fontId="0" fillId="19" borderId="0" xfId="1" applyNumberFormat="1" applyFont="1" applyFill="1" applyBorder="1"/>
    <xf numFmtId="2" fontId="0" fillId="19" borderId="19" xfId="0" applyNumberFormat="1" applyFill="1" applyBorder="1"/>
    <xf numFmtId="2" fontId="0" fillId="19" borderId="21" xfId="0" applyNumberFormat="1" applyFill="1" applyBorder="1"/>
    <xf numFmtId="167" fontId="0" fillId="0" borderId="0" xfId="1" applyNumberFormat="1" applyFont="1" applyFill="1" applyBorder="1"/>
    <xf numFmtId="0" fontId="0" fillId="0" borderId="17" xfId="0" applyFill="1" applyBorder="1"/>
    <xf numFmtId="2" fontId="6" fillId="24" borderId="0" xfId="0" applyNumberFormat="1" applyFont="1" applyFill="1"/>
    <xf numFmtId="2" fontId="0" fillId="19" borderId="0" xfId="0" applyNumberFormat="1" applyFill="1" applyAlignment="1">
      <alignment horizontal="right"/>
    </xf>
    <xf numFmtId="2" fontId="0" fillId="0" borderId="0" xfId="0" applyNumberFormat="1" applyFill="1"/>
    <xf numFmtId="10" fontId="0" fillId="0" borderId="0" xfId="1" applyNumberFormat="1" applyFont="1" applyFill="1" applyBorder="1"/>
    <xf numFmtId="43" fontId="0" fillId="0" borderId="20" xfId="1" applyFont="1" applyFill="1" applyBorder="1"/>
    <xf numFmtId="169" fontId="0" fillId="0" borderId="0" xfId="0" applyNumberFormat="1" applyFill="1"/>
    <xf numFmtId="43" fontId="2" fillId="0" borderId="0" xfId="0" applyNumberFormat="1" applyFont="1" applyFill="1"/>
    <xf numFmtId="0" fontId="2" fillId="0" borderId="0" xfId="0" applyFont="1"/>
    <xf numFmtId="0" fontId="2" fillId="6" borderId="0" xfId="0" applyFont="1" applyFill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/>
    <xf numFmtId="43" fontId="0" fillId="0" borderId="0" xfId="1" applyFont="1"/>
    <xf numFmtId="43" fontId="0" fillId="0" borderId="0" xfId="1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3" fontId="2" fillId="0" borderId="1" xfId="0" applyNumberFormat="1" applyFont="1" applyBorder="1" applyAlignment="1">
      <alignment horizontal="right"/>
    </xf>
    <xf numFmtId="43" fontId="2" fillId="0" borderId="2" xfId="0" applyNumberFormat="1" applyFont="1" applyBorder="1" applyAlignment="1">
      <alignment horizontal="right"/>
    </xf>
    <xf numFmtId="43" fontId="2" fillId="0" borderId="3" xfId="0" applyNumberFormat="1" applyFont="1" applyBorder="1" applyAlignment="1">
      <alignment horizontal="right"/>
    </xf>
    <xf numFmtId="43" fontId="2" fillId="0" borderId="4" xfId="0" applyNumberFormat="1" applyFont="1" applyBorder="1" applyAlignment="1">
      <alignment horizontal="right"/>
    </xf>
    <xf numFmtId="43" fontId="2" fillId="0" borderId="2" xfId="0" applyNumberFormat="1" applyFont="1" applyBorder="1"/>
    <xf numFmtId="43" fontId="2" fillId="0" borderId="3" xfId="0" applyNumberFormat="1" applyFont="1" applyBorder="1"/>
    <xf numFmtId="43" fontId="2" fillId="0" borderId="4" xfId="0" applyNumberFormat="1" applyFont="1" applyBorder="1"/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6" xfId="0" applyBorder="1"/>
    <xf numFmtId="0" fontId="0" fillId="0" borderId="8" xfId="0" applyBorder="1"/>
    <xf numFmtId="0" fontId="2" fillId="0" borderId="2" xfId="0" applyFont="1" applyBorder="1" applyAlignment="1">
      <alignment horizontal="right"/>
    </xf>
    <xf numFmtId="0" fontId="2" fillId="0" borderId="4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0" fillId="0" borderId="0" xfId="0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0" xfId="0" applyFont="1"/>
    <xf numFmtId="0" fontId="0" fillId="0" borderId="0" xfId="0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2" fontId="2" fillId="2" borderId="0" xfId="1" applyNumberFormat="1" applyFont="1" applyFill="1" applyAlignment="1">
      <alignment horizontal="left"/>
    </xf>
    <xf numFmtId="49" fontId="2" fillId="2" borderId="0" xfId="1" applyNumberFormat="1" applyFont="1" applyFill="1" applyAlignment="1">
      <alignment horizontal="left"/>
    </xf>
  </cellXfs>
  <cellStyles count="12">
    <cellStyle name="Comma" xfId="1" builtinId="3"/>
    <cellStyle name="Comma 2" xfId="7"/>
    <cellStyle name="Comma 2 2" xfId="9"/>
    <cellStyle name="Currency" xfId="4" builtinId="4"/>
    <cellStyle name="Hyperlink" xfId="3" builtinId="8"/>
    <cellStyle name="Normal" xfId="0" builtinId="0"/>
    <cellStyle name="Normal 2" xfId="5"/>
    <cellStyle name="Normal 2 2" xfId="8"/>
    <cellStyle name="Normal 2 2 2" xfId="10"/>
    <cellStyle name="Normal 3" xfId="11"/>
    <cellStyle name="Percent" xfId="2" builtinId="5"/>
    <cellStyle name="Percent 2" xfId="6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onnections" Target="connection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Horizontal</a:t>
            </a:r>
            <a:r>
              <a:rPr lang="en-US" baseline="0"/>
              <a:t> Analysis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'Commonsize Analysis'!$A$82</c:f>
              <c:strCache>
                <c:ptCount val="1"/>
                <c:pt idx="0">
                  <c:v>Revenue from contracts with customers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'Commonsize Analysis'!$B$81:$K$81</c:f>
              <c:numCache>
                <c:formatCode>0</c:formatCode>
                <c:ptCount val="10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'Commonsize Analysis'!$B$82:$K$82</c:f>
              <c:numCache>
                <c:formatCode>0.000%</c:formatCode>
                <c:ptCount val="10"/>
                <c:pt idx="0">
                  <c:v>1</c:v>
                </c:pt>
                <c:pt idx="1">
                  <c:v>1.2880254571987215</c:v>
                </c:pt>
                <c:pt idx="2">
                  <c:v>1.3501163282846511</c:v>
                </c:pt>
                <c:pt idx="3">
                  <c:v>1.2893925336326364</c:v>
                </c:pt>
                <c:pt idx="4">
                  <c:v>2.0118871342994469</c:v>
                </c:pt>
                <c:pt idx="5">
                  <c:v>2.244582000252521</c:v>
                </c:pt>
                <c:pt idx="6">
                  <c:v>2.5345640380291448</c:v>
                </c:pt>
                <c:pt idx="7">
                  <c:v>2.9021528742901266</c:v>
                </c:pt>
                <c:pt idx="8">
                  <c:v>3.3735683716116971</c:v>
                </c:pt>
                <c:pt idx="9">
                  <c:v>3.8764452116783081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E6-4155-97EC-0F7F18746DD1}"/>
            </c:ext>
          </c:extLst>
        </c:ser>
        <c:ser>
          <c:idx val="1"/>
          <c:order val="1"/>
          <c:tx>
            <c:strRef>
              <c:f>'Commonsize Analysis'!$A$89</c:f>
              <c:strCache>
                <c:ptCount val="1"/>
                <c:pt idx="0">
                  <c:v>Operating profit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'Commonsize Analysis'!$B$89:$K$89</c:f>
              <c:numCache>
                <c:formatCode>0.000%</c:formatCode>
                <c:ptCount val="10"/>
                <c:pt idx="0">
                  <c:v>1</c:v>
                </c:pt>
                <c:pt idx="1">
                  <c:v>1.2947838629764497</c:v>
                </c:pt>
                <c:pt idx="2">
                  <c:v>1.5067195260547304</c:v>
                </c:pt>
                <c:pt idx="3">
                  <c:v>1.3482137039012791</c:v>
                </c:pt>
                <c:pt idx="4">
                  <c:v>1.4209428542081528</c:v>
                </c:pt>
                <c:pt idx="5">
                  <c:v>2.1885654321631107</c:v>
                </c:pt>
                <c:pt idx="6">
                  <c:v>2.458652049280087</c:v>
                </c:pt>
                <c:pt idx="7">
                  <c:v>2.7946983284242513</c:v>
                </c:pt>
                <c:pt idx="8">
                  <c:v>3.1438561784547603</c:v>
                </c:pt>
                <c:pt idx="9">
                  <c:v>3.5256015131944247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E6-4155-97EC-0F7F18746DD1}"/>
            </c:ext>
          </c:extLst>
        </c:ser>
        <c:ser>
          <c:idx val="2"/>
          <c:order val="2"/>
          <c:tx>
            <c:strRef>
              <c:f>'Commonsize Analysis'!$A$95</c:f>
              <c:strCache>
                <c:ptCount val="1"/>
                <c:pt idx="0">
                  <c:v>Profit for the year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'Commonsize Analysis'!$B$95:$K$95</c:f>
              <c:numCache>
                <c:formatCode>0.000%</c:formatCode>
                <c:ptCount val="10"/>
                <c:pt idx="0">
                  <c:v>1</c:v>
                </c:pt>
                <c:pt idx="1">
                  <c:v>1.1645264686607599</c:v>
                </c:pt>
                <c:pt idx="2">
                  <c:v>1.4934923194709149</c:v>
                </c:pt>
                <c:pt idx="3">
                  <c:v>1.3405070063917741</c:v>
                </c:pt>
                <c:pt idx="4">
                  <c:v>1.5858829632469862</c:v>
                </c:pt>
                <c:pt idx="5">
                  <c:v>2.1184614604236138</c:v>
                </c:pt>
                <c:pt idx="6">
                  <c:v>2.3874894205945458</c:v>
                </c:pt>
                <c:pt idx="7">
                  <c:v>2.7090850412158911</c:v>
                </c:pt>
                <c:pt idx="8">
                  <c:v>3.0843185947109095</c:v>
                </c:pt>
                <c:pt idx="9">
                  <c:v>3.5105035192814857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9E6-4155-97EC-0F7F18746D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65126095"/>
        <c:axId val="2065130255"/>
      </c:barChart>
      <c:catAx>
        <c:axId val="2065126095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5130255"/>
        <c:crosses val="autoZero"/>
        <c:auto val="1"/>
        <c:lblAlgn val="ctr"/>
        <c:lblOffset val="100"/>
        <c:noMultiLvlLbl val="0"/>
      </c:catAx>
      <c:valAx>
        <c:axId val="2065130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5126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Teejay Lanka PLC Dupont Analysis</a:t>
            </a:r>
          </a:p>
        </c:rich>
      </c:tx>
      <c:layout>
        <c:manualLayout>
          <c:xMode val="edge"/>
          <c:yMode val="edge"/>
          <c:x val="0.25356152521125308"/>
          <c:y val="2.820230538096288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752199049443144"/>
          <c:y val="0.16427293586182323"/>
          <c:w val="0.84788599557835354"/>
          <c:h val="0.64797392849260926"/>
        </c:manualLayout>
      </c:layout>
      <c:areaChart>
        <c:grouping val="stacked"/>
        <c:varyColors val="0"/>
        <c:ser>
          <c:idx val="0"/>
          <c:order val="0"/>
          <c:tx>
            <c:strRef>
              <c:f>'Dupont Analysis'!$A$39</c:f>
              <c:strCache>
                <c:ptCount val="1"/>
                <c:pt idx="0">
                  <c:v>Tax burden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'Dupont Analysis'!$B$38:$F$38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'Dupont Analysis'!$B$39:$F$39</c:f>
              <c:numCache>
                <c:formatCode>_(* #,##0.00_);_(* \(#,##0.00\);_(* "-"??_);_(@_)</c:formatCode>
                <c:ptCount val="5"/>
                <c:pt idx="0">
                  <c:v>0.87808766606004462</c:v>
                </c:pt>
                <c:pt idx="1">
                  <c:v>0.82351171567285264</c:v>
                </c:pt>
                <c:pt idx="2">
                  <c:v>0.84772920279206987</c:v>
                </c:pt>
                <c:pt idx="3">
                  <c:v>0.82313374525888716</c:v>
                </c:pt>
                <c:pt idx="4">
                  <c:v>0.88390275585601941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5E-48D3-A0D6-F993AD372411}"/>
            </c:ext>
          </c:extLst>
        </c:ser>
        <c:ser>
          <c:idx val="1"/>
          <c:order val="1"/>
          <c:tx>
            <c:strRef>
              <c:f>'Dupont Analysis'!$A$40</c:f>
              <c:strCache>
                <c:ptCount val="1"/>
                <c:pt idx="0">
                  <c:v>Interest burden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'Dupont Analysis'!$B$38:$F$38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'Dupont Analysis'!$B$40:$F$40</c:f>
              <c:numCache>
                <c:formatCode>_(* #,##0.00_);_(* \(#,##0.00\);_(* "-"??_);_(@_)</c:formatCode>
                <c:ptCount val="5"/>
                <c:pt idx="0">
                  <c:v>0.88142090806376261</c:v>
                </c:pt>
                <c:pt idx="1">
                  <c:v>0.79274850947839104</c:v>
                </c:pt>
                <c:pt idx="2">
                  <c:v>0.87368308012920248</c:v>
                </c:pt>
                <c:pt idx="3">
                  <c:v>0.87638250480666435</c:v>
                </c:pt>
                <c:pt idx="4">
                  <c:v>0.98373442493363072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5E-48D3-A0D6-F993AD372411}"/>
            </c:ext>
          </c:extLst>
        </c:ser>
        <c:ser>
          <c:idx val="2"/>
          <c:order val="2"/>
          <c:tx>
            <c:strRef>
              <c:f>'Dupont Analysis'!$A$41</c:f>
              <c:strCache>
                <c:ptCount val="1"/>
                <c:pt idx="0">
                  <c:v>EBIT margin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'Dupont Analysis'!$B$38:$F$38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'Dupont Analysis'!$B$41:$F$41</c:f>
              <c:numCache>
                <c:formatCode>_(* #,##0.00_);_(* \(#,##0.00\);_(* "-"??_);_(@_)</c:formatCode>
                <c:ptCount val="5"/>
                <c:pt idx="0">
                  <c:v>7.346963714922998E-2</c:v>
                </c:pt>
                <c:pt idx="1">
                  <c:v>7.3855140104487432E-2</c:v>
                </c:pt>
                <c:pt idx="2">
                  <c:v>8.1991554761466301E-2</c:v>
                </c:pt>
                <c:pt idx="3">
                  <c:v>7.6821269738690523E-2</c:v>
                </c:pt>
                <c:pt idx="4">
                  <c:v>5.1889668226749543E-2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5E-48D3-A0D6-F993AD372411}"/>
            </c:ext>
          </c:extLst>
        </c:ser>
        <c:ser>
          <c:idx val="3"/>
          <c:order val="3"/>
          <c:tx>
            <c:strRef>
              <c:f>'Dupont Analysis'!$A$42</c:f>
              <c:strCache>
                <c:ptCount val="1"/>
                <c:pt idx="0">
                  <c:v>Asset use efficiency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'Dupont Analysis'!$B$38:$F$38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'Dupont Analysis'!$B$42:$F$42</c:f>
              <c:numCache>
                <c:formatCode>_(* #,##0.00_);_(* \(#,##0.00\);_(* "-"??_);_(@_)</c:formatCode>
                <c:ptCount val="5"/>
                <c:pt idx="0">
                  <c:v>1.2597786161937867</c:v>
                </c:pt>
                <c:pt idx="1">
                  <c:v>1.4181492831368059</c:v>
                </c:pt>
                <c:pt idx="2">
                  <c:v>1.2341950723918593</c:v>
                </c:pt>
                <c:pt idx="3">
                  <c:v>1.0218958994594709</c:v>
                </c:pt>
                <c:pt idx="4">
                  <c:v>0.82793185101456701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F5E-48D3-A0D6-F993AD372411}"/>
            </c:ext>
          </c:extLst>
        </c:ser>
        <c:ser>
          <c:idx val="4"/>
          <c:order val="4"/>
          <c:tx>
            <c:strRef>
              <c:f>'Dupont Analysis'!$A$43</c:f>
              <c:strCache>
                <c:ptCount val="1"/>
                <c:pt idx="0">
                  <c:v>Financial  Leverage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'Dupont Analysis'!$B$38:$F$38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'Dupont Analysis'!$B$43:$F$43</c:f>
              <c:numCache>
                <c:formatCode>_(* #,##0.00_);_(* \(#,##0.00\);_(* "-"??_);_(@_)</c:formatCode>
                <c:ptCount val="5"/>
                <c:pt idx="0">
                  <c:v>1.6720135381836498</c:v>
                </c:pt>
                <c:pt idx="1">
                  <c:v>1.6075778145534858</c:v>
                </c:pt>
                <c:pt idx="2">
                  <c:v>1.722992402600021</c:v>
                </c:pt>
                <c:pt idx="3">
                  <c:v>1.7506725314880065</c:v>
                </c:pt>
                <c:pt idx="4">
                  <c:v>2.1219461834815432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F5E-48D3-A0D6-F993AD3724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7748048"/>
        <c:axId val="657749136"/>
      </c:areaChart>
      <c:catAx>
        <c:axId val="657748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749136"/>
        <c:crosses val="autoZero"/>
        <c:auto val="1"/>
        <c:lblAlgn val="ctr"/>
        <c:lblOffset val="100"/>
        <c:noMultiLvlLbl val="0"/>
      </c:catAx>
      <c:valAx>
        <c:axId val="65774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748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Adjusted EBITDA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1"/>
          <c:order val="1"/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D01-4387-9B47-6A0ADF3DC208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D01-4387-9B47-6A0ADF3DC208}"/>
              </c:ext>
            </c:extLst>
          </c:dPt>
          <c:cat>
            <c:strRef>
              <c:f>'Business descriptions Workings'!$A$5:$A$6</c:f>
              <c:strCache>
                <c:ptCount val="2"/>
                <c:pt idx="0">
                  <c:v>Textile Manufacturing </c:v>
                </c:pt>
                <c:pt idx="1">
                  <c:v>Fabric Printing</c:v>
                </c:pt>
              </c:strCache>
            </c:strRef>
          </c:cat>
          <c:val>
            <c:numRef>
              <c:f>'Business descriptions Workings'!$C$5:$C$6</c:f>
              <c:numCache>
                <c:formatCode>0%</c:formatCode>
                <c:ptCount val="2"/>
                <c:pt idx="0">
                  <c:v>0.88184875182220879</c:v>
                </c:pt>
                <c:pt idx="1">
                  <c:v>0.11815124817779121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98-4F25-BB0C-1CF0FBD535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dPt>
                  <c:idx val="0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5-5D01-4387-9B47-6A0ADF3DC208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7-5D01-4387-9B47-6A0ADF3DC208}"/>
                    </c:ext>
                  </c:extLst>
                </c:dPt>
                <c:cat>
                  <c:strRef>
                    <c:extLst>
                      <c:ext uri="{02D57815-91ED-43cb-92C2-25804820EDAC}">
                        <c15:formulaRef>
                          <c15:sqref>'Business descriptions Workings'!$A$5:$A$6</c15:sqref>
                        </c15:formulaRef>
                      </c:ext>
                    </c:extLst>
                    <c:strCache>
                      <c:ptCount val="2"/>
                      <c:pt idx="0">
                        <c:v>Textile Manufacturing </c:v>
                      </c:pt>
                      <c:pt idx="1">
                        <c:v>Fabric Printing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'Business descriptions Workings'!$B$5:$B$6</c15:sqref>
                        </c15:formulaRef>
                      </c:ext>
                    </c:extLst>
                    <c:numCache>
                      <c:formatCode>General</c:formatCode>
                      <c:ptCount val="2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CB98-4F25-BB0C-1CF0FBD535F4}"/>
                  </c:ext>
                </c:extLst>
              </c15:ser>
            </c15:filteredPieSeries>
          </c:ext>
        </c:extLst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segment</a:t>
            </a:r>
            <a:r>
              <a:rPr lang="en-US" baseline="0"/>
              <a:t> 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2"/>
          <c:tx>
            <c:strRef>
              <c:f>'Business descriptions Workings'!$D$28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'Business descriptions Workings'!$A$29:$A$32</c:f>
              <c:strCache>
                <c:ptCount val="4"/>
                <c:pt idx="0">
                  <c:v>Textile manufacturing-sl</c:v>
                </c:pt>
                <c:pt idx="1">
                  <c:v>Textile manufacturing - ind </c:v>
                </c:pt>
                <c:pt idx="2">
                  <c:v>Fabric Printing-sl </c:v>
                </c:pt>
                <c:pt idx="3">
                  <c:v>Fabric Printing-ind</c:v>
                </c:pt>
              </c:strCache>
            </c:strRef>
          </c:cat>
          <c:val>
            <c:numRef>
              <c:f>'Business descriptions Workings'!$D$29:$D$32</c:f>
              <c:numCache>
                <c:formatCode>_("$"* #,##0.00_);_("$"* \(#,##0.00\);_("$"* "-"??_);_(@_)</c:formatCode>
                <c:ptCount val="4"/>
                <c:pt idx="0">
                  <c:v>29438073</c:v>
                </c:pt>
                <c:pt idx="1">
                  <c:v>19311892</c:v>
                </c:pt>
                <c:pt idx="2">
                  <c:v>2900093</c:v>
                </c:pt>
                <c:pt idx="3">
                  <c:v>1331868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8A2-40BA-81B1-82B2AD55F35E}"/>
            </c:ext>
          </c:extLst>
        </c:ser>
        <c:ser>
          <c:idx val="3"/>
          <c:order val="3"/>
          <c:tx>
            <c:strRef>
              <c:f>'Business descriptions Workings'!$E$28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'Business descriptions Workings'!$A$29:$A$32</c:f>
              <c:strCache>
                <c:ptCount val="4"/>
                <c:pt idx="0">
                  <c:v>Textile manufacturing-sl</c:v>
                </c:pt>
                <c:pt idx="1">
                  <c:v>Textile manufacturing - ind </c:v>
                </c:pt>
                <c:pt idx="2">
                  <c:v>Fabric Printing-sl </c:v>
                </c:pt>
                <c:pt idx="3">
                  <c:v>Fabric Printing-ind</c:v>
                </c:pt>
              </c:strCache>
            </c:strRef>
          </c:cat>
          <c:val>
            <c:numRef>
              <c:f>'Business descriptions Workings'!$E$29:$E$32</c:f>
              <c:numCache>
                <c:formatCode>_("$"* #,##0.00_);_("$"* \(#,##0.00\);_("$"* "-"??_);_(@_)</c:formatCode>
                <c:ptCount val="4"/>
                <c:pt idx="0">
                  <c:v>20965296</c:v>
                </c:pt>
                <c:pt idx="1">
                  <c:v>11268147</c:v>
                </c:pt>
                <c:pt idx="2">
                  <c:v>1953322</c:v>
                </c:pt>
                <c:pt idx="3">
                  <c:v>521399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8A2-40BA-81B1-82B2AD55F3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25427984"/>
        <c:axId val="72543451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'Business descriptions Workings'!$B$28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'Business descriptions Workings'!$A$29:$A$32</c15:sqref>
                        </c15:formulaRef>
                      </c:ext>
                    </c:extLst>
                    <c:strCache>
                      <c:ptCount val="4"/>
                      <c:pt idx="0">
                        <c:v>Textile manufacturing-sl</c:v>
                      </c:pt>
                      <c:pt idx="1">
                        <c:v>Textile manufacturing - ind </c:v>
                      </c:pt>
                      <c:pt idx="2">
                        <c:v>Fabric Printing-sl </c:v>
                      </c:pt>
                      <c:pt idx="3">
                        <c:v>Fabric Printing-ind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'Business descriptions Workings'!$B$29:$B$32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C8A2-40BA-81B1-82B2AD55F35E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'Business descriptions Workings'!$C$28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'Business descriptions Workings'!$A$29:$A$32</c15:sqref>
                        </c15:formulaRef>
                      </c:ext>
                    </c:extLst>
                    <c:strCache>
                      <c:ptCount val="4"/>
                      <c:pt idx="0">
                        <c:v>Textile manufacturing-sl</c:v>
                      </c:pt>
                      <c:pt idx="1">
                        <c:v>Textile manufacturing - ind </c:v>
                      </c:pt>
                      <c:pt idx="2">
                        <c:v>Fabric Printing-sl </c:v>
                      </c:pt>
                      <c:pt idx="3">
                        <c:v>Fabric Printing-ind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'Business descriptions Workings'!$C$29:$C$32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C8A2-40BA-81B1-82B2AD55F35E}"/>
                  </c:ext>
                </c:extLst>
              </c15:ser>
            </c15:filteredBarSeries>
          </c:ext>
        </c:extLst>
      </c:barChart>
      <c:catAx>
        <c:axId val="725427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434512"/>
        <c:crosses val="autoZero"/>
        <c:auto val="1"/>
        <c:lblAlgn val="ctr"/>
        <c:lblOffset val="100"/>
        <c:noMultiLvlLbl val="0"/>
      </c:catAx>
      <c:valAx>
        <c:axId val="72543451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crossAx val="72542798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 from Reigons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9A9-4573-A9CF-4DB5A4064C01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9A9-4573-A9CF-4DB5A4064C01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9A9-4573-A9CF-4DB5A4064C01}"/>
              </c:ext>
            </c:extLst>
          </c:dPt>
          <c:cat>
            <c:strRef>
              <c:f>'Business descriptions Workings'!$A$52:$A$54</c:f>
              <c:strCache>
                <c:ptCount val="3"/>
                <c:pt idx="0">
                  <c:v>US Market </c:v>
                </c:pt>
                <c:pt idx="1">
                  <c:v>European Market </c:v>
                </c:pt>
                <c:pt idx="2">
                  <c:v>Asian Market</c:v>
                </c:pt>
              </c:strCache>
            </c:strRef>
          </c:cat>
          <c:val>
            <c:numRef>
              <c:f>'Business descriptions Workings'!$B$52:$B$54</c:f>
              <c:numCache>
                <c:formatCode>0%</c:formatCode>
                <c:ptCount val="3"/>
                <c:pt idx="0">
                  <c:v>0.54</c:v>
                </c:pt>
                <c:pt idx="1">
                  <c:v>0.44</c:v>
                </c:pt>
                <c:pt idx="2">
                  <c:v>0.02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81-4BAB-B14D-5D3525FE53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275665</xdr:colOff>
      <xdr:row>81</xdr:row>
      <xdr:rowOff>145956</xdr:rowOff>
    </xdr:from>
    <xdr:to>
      <xdr:col>19</xdr:col>
      <xdr:colOff>547408</xdr:colOff>
      <xdr:row>96</xdr:row>
      <xdr:rowOff>36699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2FF7FC6-C1B2-5B18-CB03-6F7850F9A6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605118</xdr:colOff>
      <xdr:row>14</xdr:row>
      <xdr:rowOff>179294</xdr:rowOff>
    </xdr:from>
    <xdr:to>
      <xdr:col>12</xdr:col>
      <xdr:colOff>153826</xdr:colOff>
      <xdr:row>31</xdr:row>
      <xdr:rowOff>185102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02A0C75-8FF2-D11B-A427-5C22158B29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182880</xdr:colOff>
      <xdr:row>8</xdr:row>
      <xdr:rowOff>0</xdr:rowOff>
    </xdr:from>
    <xdr:to>
      <xdr:col>6</xdr:col>
      <xdr:colOff>373380</xdr:colOff>
      <xdr:row>23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510017-6C19-0C55-18A9-93290DCA11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8283</xdr:colOff>
      <xdr:row>33</xdr:row>
      <xdr:rowOff>7454</xdr:rowOff>
    </xdr:from>
    <xdr:to>
      <xdr:col>6</xdr:col>
      <xdr:colOff>298174</xdr:colOff>
      <xdr:row>48</xdr:row>
      <xdr:rowOff>17393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2BE209-BDDF-B975-F76D-DA3C54705F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502596</xdr:colOff>
      <xdr:row>54</xdr:row>
      <xdr:rowOff>71336</xdr:rowOff>
    </xdr:from>
    <xdr:to>
      <xdr:col>6</xdr:col>
      <xdr:colOff>162128</xdr:colOff>
      <xdr:row>69</xdr:row>
      <xdr:rowOff>139430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78478B8-1C1C-02D0-3F33-86FA2489ED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ayashan/Downloads/Copy%20of%20Teejay%20PLC%20Financial%20Ratios,%20%20commonsize%20analysis%20and%20dupont%20analysis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&amp;L-SOFP-Ratios"/>
      <sheetName val="P&amp;L Working"/>
      <sheetName val="SOFP working"/>
      <sheetName val="18ppe"/>
      <sheetName val="19ppe"/>
      <sheetName val="22ppe"/>
      <sheetName val="CF"/>
      <sheetName val="PPE"/>
      <sheetName val="Commonsize Analysis"/>
      <sheetName val="Dupont Analysis"/>
      <sheetName val="DCFF"/>
      <sheetName val="DDM"/>
      <sheetName val="Relative Valuation"/>
      <sheetName val="Business descriptions Workings"/>
    </sheetNames>
    <sheetDataSet>
      <sheetData sheetId="0">
        <row r="5">
          <cell r="B5">
            <v>24647488</v>
          </cell>
        </row>
        <row r="12">
          <cell r="B12">
            <v>1810842</v>
          </cell>
          <cell r="C12">
            <v>2344649</v>
          </cell>
          <cell r="D12">
            <v>2728431</v>
          </cell>
          <cell r="E12">
            <v>2441402</v>
          </cell>
          <cell r="F12">
            <v>2573103</v>
          </cell>
        </row>
      </sheetData>
      <sheetData sheetId="1"/>
      <sheetData sheetId="2"/>
      <sheetData sheetId="3"/>
      <sheetData sheetId="4"/>
      <sheetData sheetId="5"/>
      <sheetData sheetId="6">
        <row r="12">
          <cell r="B12">
            <v>3010383</v>
          </cell>
          <cell r="C12">
            <v>3585008</v>
          </cell>
          <cell r="D12">
            <v>3848633</v>
          </cell>
          <cell r="E12">
            <v>2343764</v>
          </cell>
          <cell r="F12">
            <v>4766105</v>
          </cell>
        </row>
      </sheetData>
      <sheetData sheetId="7"/>
      <sheetData sheetId="8"/>
      <sheetData sheetId="9"/>
      <sheetData sheetId="10"/>
      <sheetData sheetId="11"/>
      <sheetData sheetId="12">
        <row r="6">
          <cell r="C6">
            <v>701956.58</v>
          </cell>
        </row>
      </sheetData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74"/>
  <sheetViews>
    <sheetView zoomScale="85" zoomScaleNormal="85" workbookViewId="0">
      <pane ySplit="4" topLeftCell="A173" activePane="bottomLeft" state="frozen"/>
      <selection pane="bottomLeft" activeCell="G21" sqref="G21"/>
    </sheetView>
  </sheetViews>
  <sheetFormatPr defaultRowHeight="14.4" x14ac:dyDescent="0.3"/>
  <cols>
    <col min="1" max="1" width="49.33203125" customWidth="1"/>
    <col min="2" max="2" width="15.88671875" bestFit="1" customWidth="1"/>
    <col min="3" max="3" width="15.44140625" customWidth="1"/>
    <col min="4" max="4" width="16" bestFit="1" customWidth="1"/>
    <col min="5" max="5" width="16" style="2" bestFit="1" customWidth="1"/>
    <col min="6" max="6" width="16.44140625" style="2" bestFit="1" customWidth="1"/>
    <col min="7" max="11" width="16.44140625" style="2" customWidth="1"/>
    <col min="12" max="12" width="14.33203125" bestFit="1" customWidth="1"/>
    <col min="13" max="13" width="17.44140625" customWidth="1"/>
    <col min="14" max="15" width="12.5546875" customWidth="1"/>
    <col min="16" max="16" width="5.109375" bestFit="1" customWidth="1"/>
    <col min="17" max="17" width="14" bestFit="1" customWidth="1"/>
  </cols>
  <sheetData>
    <row r="1" spans="1:21" x14ac:dyDescent="0.3">
      <c r="A1" s="13"/>
      <c r="B1" s="13"/>
      <c r="C1" s="13"/>
      <c r="D1" s="13"/>
      <c r="E1" s="14"/>
      <c r="F1" s="14"/>
      <c r="G1" s="14"/>
      <c r="H1" s="14"/>
      <c r="I1" s="14"/>
      <c r="J1" s="14"/>
      <c r="K1" s="14"/>
      <c r="L1" s="13"/>
    </row>
    <row r="2" spans="1:21" ht="15.6" x14ac:dyDescent="0.3">
      <c r="A2" s="10" t="s">
        <v>74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3"/>
    </row>
    <row r="3" spans="1:21" ht="15.6" x14ac:dyDescent="0.3">
      <c r="A3" s="10" t="s">
        <v>63</v>
      </c>
      <c r="B3" s="11"/>
      <c r="C3" s="11"/>
      <c r="D3" s="11"/>
      <c r="E3" s="12"/>
      <c r="F3" s="12"/>
      <c r="G3" s="12"/>
      <c r="H3" s="12"/>
      <c r="I3" s="12"/>
      <c r="J3" s="12"/>
      <c r="K3" s="12"/>
      <c r="L3" s="13"/>
    </row>
    <row r="4" spans="1:21" x14ac:dyDescent="0.3">
      <c r="B4" s="120">
        <v>2018</v>
      </c>
      <c r="C4" s="120">
        <v>2019</v>
      </c>
      <c r="D4" s="120">
        <v>2020</v>
      </c>
      <c r="E4" s="121">
        <v>2021</v>
      </c>
      <c r="F4" s="121">
        <v>2022</v>
      </c>
      <c r="G4" s="119">
        <v>2023</v>
      </c>
      <c r="H4" s="119">
        <v>2024</v>
      </c>
      <c r="I4" s="119">
        <v>2025</v>
      </c>
      <c r="J4" s="119">
        <v>2026</v>
      </c>
      <c r="K4" s="119">
        <v>2027</v>
      </c>
      <c r="L4" s="13"/>
      <c r="Q4">
        <v>2023</v>
      </c>
      <c r="R4">
        <v>2024</v>
      </c>
      <c r="S4">
        <v>2025</v>
      </c>
      <c r="T4">
        <v>2026</v>
      </c>
      <c r="U4">
        <v>2027</v>
      </c>
    </row>
    <row r="5" spans="1:21" x14ac:dyDescent="0.3">
      <c r="A5" t="s">
        <v>64</v>
      </c>
      <c r="B5" s="72">
        <v>24647488</v>
      </c>
      <c r="C5" s="72">
        <v>31746592</v>
      </c>
      <c r="D5" s="72">
        <v>33276976</v>
      </c>
      <c r="E5" s="72">
        <v>31780287</v>
      </c>
      <c r="F5" s="72">
        <v>49587964</v>
      </c>
      <c r="G5" s="358">
        <f>+'P&amp;L Working'!G16</f>
        <v>55323307.916240007</v>
      </c>
      <c r="H5" s="358">
        <f>+'P&amp;L Working'!H16</f>
        <v>62470636.712554887</v>
      </c>
      <c r="I5" s="358">
        <f>+'P&amp;L Working'!I16</f>
        <v>71530778.143231407</v>
      </c>
      <c r="J5" s="358">
        <f>+'P&amp;L Working'!J16</f>
        <v>83149985.956478849</v>
      </c>
      <c r="K5" s="358">
        <f>+'P&amp;L Working'!K16</f>
        <v>95544636.837498561</v>
      </c>
      <c r="L5" s="13"/>
    </row>
    <row r="6" spans="1:21" x14ac:dyDescent="0.3">
      <c r="A6" t="s">
        <v>65</v>
      </c>
      <c r="B6" s="72">
        <v>-21736289</v>
      </c>
      <c r="C6" s="72">
        <v>-28060534</v>
      </c>
      <c r="D6" s="72">
        <v>-29047934</v>
      </c>
      <c r="E6" s="72">
        <v>-27990328</v>
      </c>
      <c r="F6" s="72">
        <v>-45010323</v>
      </c>
      <c r="G6" s="358">
        <f>-'P&amp;L Working'!G19</f>
        <v>-48984618.906126283</v>
      </c>
      <c r="H6" s="358">
        <f>-'P&amp;L Working'!H19</f>
        <v>-55357244.466294162</v>
      </c>
      <c r="I6" s="358">
        <f>-'P&amp;L Working'!I19</f>
        <v>-63417787.946985133</v>
      </c>
      <c r="J6" s="358">
        <f>-'P&amp;L Working'!J19</f>
        <v>-73946424.973286226</v>
      </c>
      <c r="K6" s="358">
        <f>-'P&amp;L Working'!K19</f>
        <v>-85132898.25292702</v>
      </c>
      <c r="L6" s="13"/>
    </row>
    <row r="7" spans="1:21" x14ac:dyDescent="0.3">
      <c r="A7" s="9" t="s">
        <v>66</v>
      </c>
      <c r="B7" s="337">
        <f>+B5+B6</f>
        <v>2911199</v>
      </c>
      <c r="C7" s="337">
        <f t="shared" ref="C7" si="0">+C5+C6</f>
        <v>3686058</v>
      </c>
      <c r="D7" s="337">
        <f t="shared" ref="D7" si="1">+D5+D6</f>
        <v>4229042</v>
      </c>
      <c r="E7" s="337">
        <f t="shared" ref="E7" si="2">+E5+E6</f>
        <v>3789959</v>
      </c>
      <c r="F7" s="337">
        <f t="shared" ref="F7:K7" si="3">+F5+F6</f>
        <v>4577641</v>
      </c>
      <c r="G7" s="357">
        <f t="shared" si="3"/>
        <v>6338689.0101137236</v>
      </c>
      <c r="H7" s="357">
        <f t="shared" si="3"/>
        <v>7113392.246260725</v>
      </c>
      <c r="I7" s="357">
        <f t="shared" si="3"/>
        <v>8112990.1962462738</v>
      </c>
      <c r="J7" s="357">
        <f t="shared" si="3"/>
        <v>9203560.9831926227</v>
      </c>
      <c r="K7" s="357">
        <f t="shared" si="3"/>
        <v>10411738.58457154</v>
      </c>
      <c r="L7" s="13"/>
    </row>
    <row r="8" spans="1:21" x14ac:dyDescent="0.3">
      <c r="A8" t="s">
        <v>67</v>
      </c>
      <c r="B8" s="72">
        <v>237537</v>
      </c>
      <c r="C8" s="72">
        <v>246073</v>
      </c>
      <c r="D8" s="72">
        <v>172617</v>
      </c>
      <c r="E8" s="72">
        <v>185662</v>
      </c>
      <c r="F8" s="72">
        <v>151482</v>
      </c>
      <c r="G8" s="358">
        <f>+'P&amp;L Working'!G22</f>
        <v>348234.52641931362</v>
      </c>
      <c r="H8" s="358">
        <f>+'P&amp;L Working'!H22</f>
        <v>351457.82204750733</v>
      </c>
      <c r="I8" s="358">
        <f>+'P&amp;L Working'!I22</f>
        <v>372026.52867844759</v>
      </c>
      <c r="J8" s="358">
        <f>+'P&amp;L Working'!J22</f>
        <v>432684.19436051219</v>
      </c>
      <c r="K8" s="358">
        <f>+'P&amp;L Working'!K22</f>
        <v>484982.78733151522</v>
      </c>
      <c r="L8" s="13"/>
    </row>
    <row r="9" spans="1:21" x14ac:dyDescent="0.3">
      <c r="A9" t="s">
        <v>68</v>
      </c>
      <c r="B9" s="72">
        <v>-138423</v>
      </c>
      <c r="C9" s="72">
        <v>-168321</v>
      </c>
      <c r="D9" s="72">
        <v>-195150</v>
      </c>
      <c r="E9" s="72">
        <v>-177672</v>
      </c>
      <c r="F9" s="72">
        <v>-369517</v>
      </c>
      <c r="G9" s="358">
        <f>-'P&amp;L Working'!G25</f>
        <v>-330002.71407678776</v>
      </c>
      <c r="H9" s="358">
        <f>-'P&amp;L Working'!H25</f>
        <v>-376995.31808933371</v>
      </c>
      <c r="I9" s="358">
        <f>-'P&amp;L Working'!I25</f>
        <v>-442153.82619167317</v>
      </c>
      <c r="J9" s="358">
        <f>-'P&amp;L Working'!J25</f>
        <v>-519245.67843077582</v>
      </c>
      <c r="K9" s="358">
        <f>-'P&amp;L Working'!K25</f>
        <v>-609144.63262988708</v>
      </c>
      <c r="L9" s="13"/>
    </row>
    <row r="10" spans="1:21" x14ac:dyDescent="0.3">
      <c r="A10" t="s">
        <v>1</v>
      </c>
      <c r="B10" s="72">
        <v>-1199471</v>
      </c>
      <c r="C10" s="338">
        <v>-1415749</v>
      </c>
      <c r="D10" s="338">
        <v>-1428813</v>
      </c>
      <c r="E10" s="72">
        <v>-1392044</v>
      </c>
      <c r="F10" s="72">
        <v>-1743533</v>
      </c>
      <c r="G10" s="358">
        <f>-'P&amp;L Working'!G28</f>
        <v>-2380671.0387038905</v>
      </c>
      <c r="H10" s="358">
        <f>-'P&amp;L Working'!H28</f>
        <v>-2617854.4175915769</v>
      </c>
      <c r="I10" s="358">
        <f>-'P&amp;L Working'!I28</f>
        <v>-2959040.0742608644</v>
      </c>
      <c r="J10" s="358">
        <f>-'P&amp;L Working'!J28</f>
        <v>-3413593.4234443167</v>
      </c>
      <c r="K10" s="358">
        <f>-'P&amp;L Working'!K28</f>
        <v>-3869912.2958378126</v>
      </c>
      <c r="L10" s="13"/>
    </row>
    <row r="11" spans="1:21" x14ac:dyDescent="0.3">
      <c r="A11" t="s">
        <v>69</v>
      </c>
      <c r="B11" s="72" t="s">
        <v>101</v>
      </c>
      <c r="C11" s="72">
        <v>-3412</v>
      </c>
      <c r="D11" s="72">
        <v>-49265</v>
      </c>
      <c r="E11" s="72">
        <v>35497</v>
      </c>
      <c r="F11" s="72">
        <v>-42970</v>
      </c>
      <c r="G11" s="358">
        <f>+'P&amp;L Working'!G31</f>
        <v>-13103.579443246579</v>
      </c>
      <c r="H11" s="358">
        <f>+'P&amp;L Working'!H31</f>
        <v>-17769.938404871518</v>
      </c>
      <c r="I11" s="358">
        <f>+'P&amp;L Working'!I31</f>
        <v>-23065.714031754898</v>
      </c>
      <c r="J11" s="358">
        <f>+'P&amp;L Working'!J31</f>
        <v>-10379.2657726667</v>
      </c>
      <c r="K11" s="358">
        <f>+'P&amp;L Working'!K31</f>
        <v>-33357.148079339</v>
      </c>
      <c r="L11" s="13"/>
    </row>
    <row r="12" spans="1:21" x14ac:dyDescent="0.3">
      <c r="A12" s="9" t="s">
        <v>132</v>
      </c>
      <c r="B12" s="337">
        <f>SUM(B7:B11)</f>
        <v>1810842</v>
      </c>
      <c r="C12" s="337">
        <f t="shared" ref="C12:K12" si="4">SUM(C7:C11)</f>
        <v>2344649</v>
      </c>
      <c r="D12" s="337">
        <f t="shared" si="4"/>
        <v>2728431</v>
      </c>
      <c r="E12" s="337">
        <f t="shared" si="4"/>
        <v>2441402</v>
      </c>
      <c r="F12" s="337">
        <f t="shared" si="4"/>
        <v>2573103</v>
      </c>
      <c r="G12" s="357">
        <f t="shared" si="4"/>
        <v>3963146.2043091119</v>
      </c>
      <c r="H12" s="357">
        <f t="shared" si="4"/>
        <v>4452230.3942224514</v>
      </c>
      <c r="I12" s="357">
        <f t="shared" si="4"/>
        <v>5060757.1104404284</v>
      </c>
      <c r="J12" s="357">
        <f t="shared" si="4"/>
        <v>5693026.8099053754</v>
      </c>
      <c r="K12" s="357">
        <f t="shared" si="4"/>
        <v>6384307.2953560185</v>
      </c>
      <c r="L12" s="13"/>
    </row>
    <row r="13" spans="1:21" x14ac:dyDescent="0.3">
      <c r="A13" t="s">
        <v>0</v>
      </c>
      <c r="B13" s="72">
        <v>106297</v>
      </c>
      <c r="C13" s="338">
        <v>101899</v>
      </c>
      <c r="D13" s="338">
        <v>243825</v>
      </c>
      <c r="E13" s="72">
        <v>276786</v>
      </c>
      <c r="F13" s="72">
        <v>439838</v>
      </c>
      <c r="G13" s="358">
        <f>+'P&amp;L Working'!G34</f>
        <v>200164.47906151362</v>
      </c>
      <c r="H13" s="358">
        <f>+'P&amp;L Working'!H34</f>
        <v>222059.95067326774</v>
      </c>
      <c r="I13" s="358">
        <f>+'P&amp;L Working'!I34</f>
        <v>236283.7075429752</v>
      </c>
      <c r="J13" s="358">
        <f>+'P&amp;L Working'!J34</f>
        <v>233634.18911104253</v>
      </c>
      <c r="K13" s="358">
        <f>+'P&amp;L Working'!K34</f>
        <v>225067.31898032589</v>
      </c>
      <c r="L13" s="13"/>
      <c r="M13" s="67" t="e">
        <f>+D14/#REF!</f>
        <v>#REF!</v>
      </c>
      <c r="N13" s="67" t="e">
        <f>+E14/#REF!</f>
        <v>#REF!</v>
      </c>
      <c r="O13" s="67" t="e">
        <f>+F14/#REF!</f>
        <v>#REF!</v>
      </c>
    </row>
    <row r="14" spans="1:21" x14ac:dyDescent="0.3">
      <c r="A14" t="s">
        <v>71</v>
      </c>
      <c r="B14" s="72">
        <v>-99423</v>
      </c>
      <c r="C14" s="72">
        <v>-189486</v>
      </c>
      <c r="D14" s="72">
        <v>-160292</v>
      </c>
      <c r="E14" s="72">
        <v>-118851</v>
      </c>
      <c r="F14" s="72">
        <v>-149221</v>
      </c>
      <c r="G14" s="358">
        <f>+'P&amp;L Working'!G35</f>
        <v>-316132.18434485904</v>
      </c>
      <c r="H14" s="358">
        <f>+'P&amp;L Working'!H35</f>
        <v>-287820.24862596567</v>
      </c>
      <c r="I14" s="358">
        <f>+'P&amp;L Working'!I35</f>
        <v>-254366.06251647556</v>
      </c>
      <c r="J14" s="358">
        <f>+'P&amp;L Working'!J35</f>
        <v>-214553.83392642476</v>
      </c>
      <c r="K14" s="358">
        <f>+'P&amp;L Working'!K35</f>
        <v>-169412.69091861034</v>
      </c>
      <c r="L14" s="13"/>
    </row>
    <row r="15" spans="1:21" x14ac:dyDescent="0.3">
      <c r="A15" t="s">
        <v>127</v>
      </c>
      <c r="B15" s="72">
        <f>+B13+B14</f>
        <v>6874</v>
      </c>
      <c r="C15" s="72">
        <f t="shared" ref="C15:F15" si="5">+C13+C14</f>
        <v>-87587</v>
      </c>
      <c r="D15" s="72">
        <f t="shared" si="5"/>
        <v>83533</v>
      </c>
      <c r="E15" s="72">
        <f t="shared" si="5"/>
        <v>157935</v>
      </c>
      <c r="F15" s="72">
        <f t="shared" si="5"/>
        <v>290617</v>
      </c>
      <c r="G15" s="358">
        <f>+'P&amp;L Working'!G79</f>
        <v>-115967.70528334542</v>
      </c>
      <c r="H15" s="358">
        <f>+'P&amp;L Working'!H79</f>
        <v>-65760.297952697932</v>
      </c>
      <c r="I15" s="358">
        <f>+'P&amp;L Working'!I79</f>
        <v>-18082.354973500362</v>
      </c>
      <c r="J15" s="358">
        <f>+'P&amp;L Working'!J79</f>
        <v>19080.355184617772</v>
      </c>
      <c r="K15" s="358">
        <f>+'P&amp;L Working'!K79</f>
        <v>55654.628061715543</v>
      </c>
      <c r="L15" s="13"/>
    </row>
    <row r="16" spans="1:21" x14ac:dyDescent="0.3">
      <c r="A16" s="9" t="s">
        <v>133</v>
      </c>
      <c r="B16" s="337">
        <f>+B15+B12</f>
        <v>1817716</v>
      </c>
      <c r="C16" s="337">
        <f t="shared" ref="C16:K16" si="6">+C15+C12</f>
        <v>2257062</v>
      </c>
      <c r="D16" s="337">
        <f t="shared" si="6"/>
        <v>2811964</v>
      </c>
      <c r="E16" s="337">
        <f t="shared" si="6"/>
        <v>2599337</v>
      </c>
      <c r="F16" s="337">
        <f t="shared" si="6"/>
        <v>2863720</v>
      </c>
      <c r="G16" s="357">
        <f t="shared" si="6"/>
        <v>3847178.4990257667</v>
      </c>
      <c r="H16" s="357">
        <f t="shared" si="6"/>
        <v>4386470.0962697538</v>
      </c>
      <c r="I16" s="357">
        <f t="shared" si="6"/>
        <v>5042674.7554669278</v>
      </c>
      <c r="J16" s="357">
        <f t="shared" si="6"/>
        <v>5712107.1650899928</v>
      </c>
      <c r="K16" s="357">
        <f t="shared" si="6"/>
        <v>6439961.923417734</v>
      </c>
      <c r="L16" s="13"/>
      <c r="M16" s="357">
        <f>+((D21-C21)/C21)*(D12/(D12-C12))</f>
        <v>2.0120731374326799</v>
      </c>
      <c r="N16" s="357">
        <f t="shared" ref="N16" si="7">+((E21-D21)/D21)*(E12/(E12-D12))</f>
        <v>0.9006106986934912</v>
      </c>
      <c r="O16" s="357">
        <f>+((F21-E21)/E21)*(F12/(F12-E12))</f>
        <v>3.2133980020133324</v>
      </c>
    </row>
    <row r="17" spans="1:12" x14ac:dyDescent="0.3">
      <c r="A17" t="s">
        <v>73</v>
      </c>
      <c r="B17" s="72">
        <v>-221602</v>
      </c>
      <c r="C17" s="72">
        <v>-398345</v>
      </c>
      <c r="D17" s="72">
        <v>-428180</v>
      </c>
      <c r="E17" s="72">
        <v>-459735</v>
      </c>
      <c r="F17" s="72">
        <v>-332470</v>
      </c>
      <c r="G17" s="358">
        <f>-'P&amp;L Working'!G59</f>
        <v>-465872.50358319061</v>
      </c>
      <c r="H17" s="358">
        <f>-'P&amp;L Working'!H59</f>
        <v>-575764.80720691057</v>
      </c>
      <c r="I17" s="358">
        <f>-'P&amp;L Working'!I59</f>
        <v>-718666.19399166689</v>
      </c>
      <c r="J17" s="358">
        <f>-'P&amp;L Working'!J59</f>
        <v>-789183.07561158435</v>
      </c>
      <c r="K17" s="358">
        <f>-'P&amp;L Working'!K59</f>
        <v>-836798.10924328503</v>
      </c>
      <c r="L17" s="13"/>
    </row>
    <row r="18" spans="1:12" x14ac:dyDescent="0.3">
      <c r="A18" s="9" t="s">
        <v>3</v>
      </c>
      <c r="B18" s="337">
        <f>+B17+B16</f>
        <v>1596114</v>
      </c>
      <c r="C18" s="337">
        <f t="shared" ref="C18:K18" si="8">+C17+C16</f>
        <v>1858717</v>
      </c>
      <c r="D18" s="337">
        <f t="shared" si="8"/>
        <v>2383784</v>
      </c>
      <c r="E18" s="337">
        <f t="shared" si="8"/>
        <v>2139602</v>
      </c>
      <c r="F18" s="337">
        <f t="shared" si="8"/>
        <v>2531250</v>
      </c>
      <c r="G18" s="357">
        <f t="shared" si="8"/>
        <v>3381305.9954425762</v>
      </c>
      <c r="H18" s="357">
        <f t="shared" si="8"/>
        <v>3810705.2890628432</v>
      </c>
      <c r="I18" s="357">
        <f t="shared" si="8"/>
        <v>4324008.5614752611</v>
      </c>
      <c r="J18" s="357">
        <f t="shared" si="8"/>
        <v>4922924.0894784089</v>
      </c>
      <c r="K18" s="357">
        <f t="shared" si="8"/>
        <v>5603163.8141744491</v>
      </c>
      <c r="L18" s="13"/>
    </row>
    <row r="19" spans="1:12" x14ac:dyDescent="0.3">
      <c r="A19" t="s">
        <v>105</v>
      </c>
      <c r="B19" s="4">
        <f>+B18</f>
        <v>1596114</v>
      </c>
      <c r="C19" s="4">
        <f t="shared" ref="C19:K19" si="9">+C18</f>
        <v>1858717</v>
      </c>
      <c r="D19" s="4">
        <f t="shared" si="9"/>
        <v>2383784</v>
      </c>
      <c r="E19" s="4">
        <f t="shared" si="9"/>
        <v>2139602</v>
      </c>
      <c r="F19" s="4">
        <f t="shared" si="9"/>
        <v>2531250</v>
      </c>
      <c r="G19" s="361">
        <f t="shared" si="9"/>
        <v>3381305.9954425762</v>
      </c>
      <c r="H19" s="361">
        <f t="shared" si="9"/>
        <v>3810705.2890628432</v>
      </c>
      <c r="I19" s="361">
        <f t="shared" si="9"/>
        <v>4324008.5614752611</v>
      </c>
      <c r="J19" s="361">
        <f t="shared" si="9"/>
        <v>4922924.0894784089</v>
      </c>
      <c r="K19" s="361">
        <f t="shared" si="9"/>
        <v>5603163.8141744491</v>
      </c>
      <c r="L19" s="13"/>
    </row>
    <row r="20" spans="1:12" x14ac:dyDescent="0.3">
      <c r="A20" s="9" t="s">
        <v>13</v>
      </c>
      <c r="B20" s="130"/>
      <c r="C20" s="130"/>
      <c r="D20" s="130"/>
      <c r="E20" s="19"/>
      <c r="F20" s="19"/>
      <c r="G20" s="175"/>
      <c r="H20" s="175"/>
      <c r="I20" s="175"/>
      <c r="J20" s="175"/>
      <c r="K20" s="175"/>
      <c r="L20" s="13"/>
    </row>
    <row r="21" spans="1:12" x14ac:dyDescent="0.3">
      <c r="A21" t="s">
        <v>14</v>
      </c>
      <c r="B21" s="4">
        <v>2.2799999999999998</v>
      </c>
      <c r="C21" s="4">
        <v>2.65</v>
      </c>
      <c r="D21" s="4">
        <v>3.4</v>
      </c>
      <c r="E21" s="74">
        <v>3.04</v>
      </c>
      <c r="F21" s="74">
        <v>3.54</v>
      </c>
      <c r="G21" s="175">
        <f>+G19/G161</f>
        <v>4.7247181920017889</v>
      </c>
      <c r="H21" s="175">
        <f t="shared" ref="H21:K21" si="10">+H19/H161</f>
        <v>5.3247202790459243</v>
      </c>
      <c r="I21" s="175">
        <f t="shared" si="10"/>
        <v>6.0419618751776483</v>
      </c>
      <c r="J21" s="175">
        <f t="shared" si="10"/>
        <v>6.8788299653306222</v>
      </c>
      <c r="K21" s="175">
        <f t="shared" si="10"/>
        <v>7.8293328203001256</v>
      </c>
      <c r="L21" s="13"/>
    </row>
    <row r="22" spans="1:12" x14ac:dyDescent="0.3">
      <c r="B22" s="4"/>
      <c r="C22" s="4"/>
      <c r="D22" s="4"/>
      <c r="G22" s="175"/>
      <c r="H22" s="175"/>
      <c r="I22" s="175"/>
      <c r="J22" s="175"/>
      <c r="K22" s="175"/>
      <c r="L22" s="13"/>
    </row>
    <row r="23" spans="1:12" x14ac:dyDescent="0.3">
      <c r="A23" s="9" t="s">
        <v>4</v>
      </c>
      <c r="B23" s="273">
        <v>1.95</v>
      </c>
      <c r="C23" s="273">
        <v>1.75</v>
      </c>
      <c r="D23" s="273">
        <v>2.4</v>
      </c>
      <c r="E23" s="273">
        <v>2.8</v>
      </c>
      <c r="F23" s="273">
        <v>2.35</v>
      </c>
      <c r="G23" s="166">
        <f>+DDM!G4</f>
        <v>3.6004538322220352</v>
      </c>
      <c r="H23" s="166">
        <f>+DDM!H4</f>
        <v>3.956663773564272</v>
      </c>
      <c r="I23" s="166">
        <f>+DDM!I4</f>
        <v>4.5886829691087341</v>
      </c>
      <c r="J23" s="166">
        <f>+DDM!J4</f>
        <v>5.2968119832139262</v>
      </c>
      <c r="K23" s="166">
        <f>+DDM!K4</f>
        <v>5.7921783010194421</v>
      </c>
      <c r="L23" s="13"/>
    </row>
    <row r="24" spans="1:12" x14ac:dyDescent="0.3">
      <c r="B24" s="4"/>
      <c r="C24" s="4"/>
      <c r="D24" s="4"/>
      <c r="E24" s="4"/>
      <c r="F24" s="4"/>
      <c r="G24" s="361"/>
      <c r="H24" s="361"/>
      <c r="I24" s="361"/>
      <c r="J24" s="361"/>
      <c r="K24" s="361"/>
      <c r="L24" s="13"/>
    </row>
    <row r="25" spans="1:12" x14ac:dyDescent="0.3">
      <c r="A25" s="9" t="s">
        <v>109</v>
      </c>
      <c r="B25" s="273">
        <v>31.9</v>
      </c>
      <c r="C25" s="273">
        <v>30.4</v>
      </c>
      <c r="D25" s="273">
        <v>23.3</v>
      </c>
      <c r="E25" s="273">
        <v>40</v>
      </c>
      <c r="F25" s="273">
        <v>39.799999999999997</v>
      </c>
      <c r="G25" s="166"/>
      <c r="H25" s="166"/>
      <c r="I25" s="166"/>
      <c r="J25" s="166"/>
      <c r="K25" s="166"/>
      <c r="L25" s="13"/>
    </row>
    <row r="26" spans="1:12" x14ac:dyDescent="0.3">
      <c r="C26" s="4">
        <f>+C23/C25</f>
        <v>5.7565789473684216E-2</v>
      </c>
      <c r="D26" s="4">
        <f t="shared" ref="D26:E26" si="11">+D23/D25</f>
        <v>0.10300429184549356</v>
      </c>
      <c r="E26" s="4">
        <f t="shared" si="11"/>
        <v>6.9999999999999993E-2</v>
      </c>
      <c r="F26"/>
      <c r="G26" s="168"/>
      <c r="H26" s="168"/>
      <c r="I26" s="168"/>
      <c r="J26" s="168"/>
      <c r="K26" s="168"/>
      <c r="L26" s="13"/>
    </row>
    <row r="27" spans="1:12" x14ac:dyDescent="0.3">
      <c r="A27" s="13"/>
      <c r="B27" s="13"/>
      <c r="C27" s="13"/>
      <c r="D27" s="13"/>
      <c r="E27" s="14"/>
      <c r="F27" s="14"/>
      <c r="G27" s="14"/>
      <c r="H27" s="14"/>
      <c r="I27" s="14"/>
      <c r="J27" s="14"/>
      <c r="K27" s="14"/>
      <c r="L27" s="13"/>
    </row>
    <row r="28" spans="1:12" x14ac:dyDescent="0.3">
      <c r="A28" s="13"/>
      <c r="B28" s="13"/>
      <c r="C28" s="13"/>
      <c r="D28" s="13"/>
      <c r="E28" s="14"/>
      <c r="F28" s="14"/>
      <c r="G28" s="14"/>
      <c r="H28" s="14"/>
      <c r="I28" s="14"/>
      <c r="J28" s="14"/>
      <c r="K28" s="14"/>
      <c r="L28" s="13"/>
    </row>
    <row r="29" spans="1:12" ht="15.6" x14ac:dyDescent="0.3">
      <c r="A29" s="10" t="s">
        <v>74</v>
      </c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3"/>
    </row>
    <row r="30" spans="1:12" ht="15.6" x14ac:dyDescent="0.3">
      <c r="A30" s="10" t="s">
        <v>75</v>
      </c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3"/>
    </row>
    <row r="31" spans="1:12" x14ac:dyDescent="0.3">
      <c r="A31" s="1" t="s">
        <v>9</v>
      </c>
      <c r="B31" s="120">
        <v>2018</v>
      </c>
      <c r="C31" s="120">
        <v>2019</v>
      </c>
      <c r="D31" s="120">
        <v>2020</v>
      </c>
      <c r="E31" s="121">
        <v>2021</v>
      </c>
      <c r="F31" s="121">
        <v>2022</v>
      </c>
      <c r="G31" s="119">
        <v>2023</v>
      </c>
      <c r="H31" s="119">
        <v>2024</v>
      </c>
      <c r="I31" s="119">
        <v>2025</v>
      </c>
      <c r="J31" s="119">
        <v>2026</v>
      </c>
      <c r="K31" s="119">
        <v>2027</v>
      </c>
      <c r="L31" s="13"/>
    </row>
    <row r="32" spans="1:12" x14ac:dyDescent="0.3">
      <c r="A32" s="9" t="s">
        <v>76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13"/>
    </row>
    <row r="33" spans="1:19" x14ac:dyDescent="0.3">
      <c r="A33" s="77" t="s">
        <v>77</v>
      </c>
      <c r="B33" s="72">
        <v>7534180</v>
      </c>
      <c r="C33" s="72">
        <v>8408235</v>
      </c>
      <c r="D33" s="72">
        <v>8777251</v>
      </c>
      <c r="E33" s="72">
        <v>8710818</v>
      </c>
      <c r="F33" s="72">
        <v>14715246</v>
      </c>
      <c r="G33" s="358">
        <f>+PPE!G163</f>
        <v>14543454.90390503</v>
      </c>
      <c r="H33" s="358">
        <f>+PPE!H163</f>
        <v>14411709.305708937</v>
      </c>
      <c r="I33" s="358">
        <f>+PPE!I163</f>
        <v>14246580.188389855</v>
      </c>
      <c r="J33" s="358">
        <f>+PPE!J163</f>
        <v>14116507.610612879</v>
      </c>
      <c r="K33" s="358">
        <f>+PPE!K163</f>
        <v>14110906.705902711</v>
      </c>
      <c r="L33" s="13"/>
    </row>
    <row r="34" spans="1:19" x14ac:dyDescent="0.3">
      <c r="A34" s="77" t="s">
        <v>78</v>
      </c>
      <c r="B34" s="72">
        <v>54458</v>
      </c>
      <c r="C34" s="72">
        <v>94321</v>
      </c>
      <c r="D34" s="72">
        <v>77726</v>
      </c>
      <c r="E34" s="72">
        <v>125452</v>
      </c>
      <c r="F34" s="72">
        <v>143391</v>
      </c>
      <c r="G34" s="358">
        <f>+PPE!C271</f>
        <v>150819.66960475437</v>
      </c>
      <c r="H34" s="358">
        <f>+PPE!C282</f>
        <v>162170.11287549837</v>
      </c>
      <c r="I34" s="358">
        <f>+PPE!C293</f>
        <v>167788.05291540342</v>
      </c>
      <c r="J34" s="358">
        <f>+PPE!C304</f>
        <v>177846.90214365668</v>
      </c>
      <c r="K34" s="358">
        <f>+PPE!C314</f>
        <v>180376.85828830244</v>
      </c>
      <c r="L34" s="13"/>
    </row>
    <row r="35" spans="1:19" x14ac:dyDescent="0.3">
      <c r="A35" s="77" t="s">
        <v>79</v>
      </c>
      <c r="B35" s="72" t="s">
        <v>82</v>
      </c>
      <c r="C35" s="72" t="s">
        <v>82</v>
      </c>
      <c r="D35" s="72">
        <v>910400</v>
      </c>
      <c r="E35" s="72">
        <v>899016</v>
      </c>
      <c r="F35" s="72">
        <v>1341498</v>
      </c>
      <c r="G35" s="358">
        <f>+PPE!G349</f>
        <v>1486455.6666666667</v>
      </c>
      <c r="H35" s="358">
        <f>+PPE!H349</f>
        <v>1669049.888888889</v>
      </c>
      <c r="I35" s="358">
        <f>+PPE!I349</f>
        <v>1916303.5185185187</v>
      </c>
      <c r="J35" s="358">
        <f>+PPE!J349</f>
        <v>2107905.3580246917</v>
      </c>
      <c r="K35" s="358">
        <f>+PPE!K349</f>
        <v>2315055.2551440331</v>
      </c>
      <c r="L35" s="13"/>
    </row>
    <row r="36" spans="1:19" x14ac:dyDescent="0.3">
      <c r="A36" s="77" t="s">
        <v>80</v>
      </c>
      <c r="B36" s="72">
        <v>444541</v>
      </c>
      <c r="C36" s="72">
        <v>119098</v>
      </c>
      <c r="D36" s="72">
        <v>589511</v>
      </c>
      <c r="E36" s="72">
        <v>425281</v>
      </c>
      <c r="F36" s="72">
        <v>5268720</v>
      </c>
      <c r="G36" s="358">
        <f>+PPE!G187</f>
        <v>5269704.6500000004</v>
      </c>
      <c r="H36" s="358">
        <f>+PPE!H187</f>
        <v>5249538.0300000012</v>
      </c>
      <c r="I36" s="358">
        <f>+PPE!I187</f>
        <v>5290426.6860000016</v>
      </c>
      <c r="J36" s="358">
        <f>+PPE!J187</f>
        <v>5240367.8732000021</v>
      </c>
      <c r="K36" s="358">
        <f>+PPE!K187</f>
        <v>5213143.297840002</v>
      </c>
      <c r="L36" s="13"/>
      <c r="M36" s="4">
        <f>+B50-B76</f>
        <v>0</v>
      </c>
      <c r="N36" s="4">
        <f>+C50-C76</f>
        <v>0</v>
      </c>
      <c r="O36" s="4">
        <f>+D50-D76</f>
        <v>0</v>
      </c>
      <c r="P36" s="4">
        <f>+E50-E76</f>
        <v>0</v>
      </c>
      <c r="Q36" s="4">
        <f>+F50-F76</f>
        <v>0</v>
      </c>
      <c r="R36" s="4">
        <f>+L50-L76</f>
        <v>0</v>
      </c>
      <c r="S36" s="4">
        <f>+M50-M76</f>
        <v>-1.179210174486327</v>
      </c>
    </row>
    <row r="37" spans="1:19" x14ac:dyDescent="0.3">
      <c r="A37" s="77" t="s">
        <v>81</v>
      </c>
      <c r="B37" s="72" t="s">
        <v>82</v>
      </c>
      <c r="C37" s="72" t="s">
        <v>82</v>
      </c>
      <c r="D37" s="72" t="s">
        <v>82</v>
      </c>
      <c r="E37" s="72" t="s">
        <v>82</v>
      </c>
      <c r="F37" s="72" t="s">
        <v>82</v>
      </c>
      <c r="G37" s="358" t="s">
        <v>82</v>
      </c>
      <c r="H37" s="358" t="s">
        <v>82</v>
      </c>
      <c r="I37" s="358" t="s">
        <v>82</v>
      </c>
      <c r="J37" s="358" t="s">
        <v>82</v>
      </c>
      <c r="K37" s="358" t="s">
        <v>82</v>
      </c>
      <c r="L37" s="13"/>
    </row>
    <row r="38" spans="1:19" x14ac:dyDescent="0.3">
      <c r="A38" s="77" t="s">
        <v>83</v>
      </c>
      <c r="B38" s="72">
        <v>125070</v>
      </c>
      <c r="C38" s="72">
        <v>111021</v>
      </c>
      <c r="D38" s="72">
        <v>256257</v>
      </c>
      <c r="E38" s="72">
        <v>273228</v>
      </c>
      <c r="F38" s="72">
        <v>431633</v>
      </c>
      <c r="G38" s="358">
        <f>-'SOFP working'!G162</f>
        <v>295692.52207870287</v>
      </c>
      <c r="H38" s="358">
        <f>-'SOFP working'!H162</f>
        <v>279943.62317509128</v>
      </c>
      <c r="I38" s="358">
        <f>-'SOFP working'!I162</f>
        <v>261894.51731637589</v>
      </c>
      <c r="J38" s="358">
        <f>-'SOFP working'!J162</f>
        <v>267859.75461356866</v>
      </c>
      <c r="K38" s="358">
        <f>-'SOFP working'!K162</f>
        <v>254226.23769185794</v>
      </c>
      <c r="L38" s="13"/>
    </row>
    <row r="39" spans="1:19" x14ac:dyDescent="0.3">
      <c r="A39" s="77" t="s">
        <v>99</v>
      </c>
      <c r="B39" s="72">
        <v>227820</v>
      </c>
      <c r="C39" s="72">
        <v>235887</v>
      </c>
      <c r="D39" s="72" t="s">
        <v>82</v>
      </c>
      <c r="E39" s="72" t="s">
        <v>82</v>
      </c>
      <c r="F39" s="72" t="s">
        <v>82</v>
      </c>
      <c r="G39" s="358" t="s">
        <v>510</v>
      </c>
      <c r="H39" s="358" t="s">
        <v>510</v>
      </c>
      <c r="I39" s="358" t="s">
        <v>510</v>
      </c>
      <c r="J39" s="358" t="s">
        <v>510</v>
      </c>
      <c r="K39" s="358" t="s">
        <v>510</v>
      </c>
      <c r="L39" s="13"/>
    </row>
    <row r="40" spans="1:19" x14ac:dyDescent="0.3">
      <c r="A40" s="77" t="s">
        <v>84</v>
      </c>
      <c r="B40" s="72">
        <v>51112</v>
      </c>
      <c r="C40" s="72">
        <v>57912</v>
      </c>
      <c r="D40" s="72">
        <v>62298</v>
      </c>
      <c r="E40" s="72">
        <v>65709</v>
      </c>
      <c r="F40" s="72">
        <v>96010</v>
      </c>
      <c r="G40" s="358">
        <f>+PPE!B271</f>
        <v>99919.780395245645</v>
      </c>
      <c r="H40" s="358">
        <f>+PPE!B282</f>
        <v>104335.47712450166</v>
      </c>
      <c r="I40" s="358">
        <f>+PPE!B293</f>
        <v>108311.50508459665</v>
      </c>
      <c r="J40" s="358">
        <f>+PPE!B304</f>
        <v>112207.21745634338</v>
      </c>
      <c r="K40" s="358">
        <f>+PPE!B314</f>
        <v>116195.33523169762</v>
      </c>
      <c r="L40" s="13"/>
    </row>
    <row r="41" spans="1:19" x14ac:dyDescent="0.3">
      <c r="A41" s="77"/>
      <c r="B41" s="343">
        <f>SUM(B33:B40)</f>
        <v>8437181</v>
      </c>
      <c r="C41" s="343">
        <f>SUM(C33:C40)</f>
        <v>9026474</v>
      </c>
      <c r="D41" s="343">
        <f>SUM(D33:D40)</f>
        <v>10673443</v>
      </c>
      <c r="E41" s="343">
        <f>SUM(E33:E40)</f>
        <v>10499504</v>
      </c>
      <c r="F41" s="343">
        <f>SUM(F33:F40)</f>
        <v>21996498</v>
      </c>
      <c r="G41" s="362">
        <f t="shared" ref="G41:K41" si="12">SUM(G33:G40)</f>
        <v>21846047.192650404</v>
      </c>
      <c r="H41" s="362">
        <f t="shared" si="12"/>
        <v>21876746.437772918</v>
      </c>
      <c r="I41" s="362">
        <f t="shared" si="12"/>
        <v>21991304.468224749</v>
      </c>
      <c r="J41" s="362">
        <f t="shared" si="12"/>
        <v>22022694.716051143</v>
      </c>
      <c r="K41" s="362">
        <f t="shared" si="12"/>
        <v>22189903.690098606</v>
      </c>
      <c r="L41" s="15"/>
    </row>
    <row r="42" spans="1:19" x14ac:dyDescent="0.3">
      <c r="A42" s="28" t="s">
        <v>85</v>
      </c>
      <c r="B42" s="343"/>
      <c r="C42" s="343"/>
      <c r="D42" s="343"/>
      <c r="E42" s="343"/>
      <c r="F42" s="343"/>
      <c r="G42" s="362"/>
      <c r="H42" s="362"/>
      <c r="I42" s="362"/>
      <c r="J42" s="362"/>
      <c r="K42" s="362"/>
      <c r="L42" s="13"/>
    </row>
    <row r="43" spans="1:19" x14ac:dyDescent="0.3">
      <c r="A43" s="77" t="s">
        <v>5</v>
      </c>
      <c r="B43" s="72">
        <v>4091207</v>
      </c>
      <c r="C43" s="72">
        <v>4494420</v>
      </c>
      <c r="D43" s="72">
        <v>5904129</v>
      </c>
      <c r="E43" s="72">
        <v>7280706</v>
      </c>
      <c r="F43" s="72">
        <v>16355777</v>
      </c>
      <c r="G43" s="358">
        <f>+'SOFP working'!G19</f>
        <v>11512727.26799869</v>
      </c>
      <c r="H43" s="358">
        <f>+'SOFP working'!H19</f>
        <v>13252487.850878688</v>
      </c>
      <c r="I43" s="358">
        <f>+'SOFP working'!I19</f>
        <v>15958654.389085837</v>
      </c>
      <c r="J43" s="358">
        <f>+'SOFP working'!J19</f>
        <v>19415784.077914551</v>
      </c>
      <c r="K43" s="358">
        <f>+'SOFP working'!K19</f>
        <v>23016254.663770407</v>
      </c>
      <c r="L43" s="13"/>
    </row>
    <row r="44" spans="1:19" x14ac:dyDescent="0.3">
      <c r="A44" s="77" t="s">
        <v>86</v>
      </c>
      <c r="B44" s="72">
        <v>3494456</v>
      </c>
      <c r="C44" s="72">
        <v>4012653</v>
      </c>
      <c r="D44" s="72">
        <v>4136507</v>
      </c>
      <c r="E44" s="72">
        <v>7180865</v>
      </c>
      <c r="F44" s="72">
        <v>13336000</v>
      </c>
      <c r="G44" s="358">
        <f>+'SOFP working'!G89</f>
        <v>8553433.1545494776</v>
      </c>
      <c r="H44" s="358">
        <f>+'SOFP working'!H89</f>
        <v>9818777.4467674065</v>
      </c>
      <c r="I44" s="358">
        <f>+'SOFP working'!I89</f>
        <v>11683112.706274429</v>
      </c>
      <c r="J44" s="358">
        <f>+'SOFP working'!J89</f>
        <v>14229853.644834904</v>
      </c>
      <c r="K44" s="358">
        <f>+'SOFP working'!K89</f>
        <v>15303483.463199658</v>
      </c>
      <c r="L44" s="13"/>
    </row>
    <row r="45" spans="1:19" x14ac:dyDescent="0.3">
      <c r="A45" s="77" t="s">
        <v>87</v>
      </c>
      <c r="B45" s="72" t="s">
        <v>82</v>
      </c>
      <c r="C45" s="72">
        <v>8766</v>
      </c>
      <c r="D45" s="72">
        <v>18219</v>
      </c>
      <c r="E45" s="72">
        <v>6170</v>
      </c>
      <c r="F45" s="72" t="s">
        <v>82</v>
      </c>
      <c r="G45" s="358">
        <f>+'SOFP working'!G131</f>
        <v>16333.31643477029</v>
      </c>
      <c r="H45" s="358">
        <f>+'SOFP working'!H131</f>
        <v>18622.895748708885</v>
      </c>
      <c r="I45" s="358">
        <f>+'SOFP working'!I131</f>
        <v>21864.843717432443</v>
      </c>
      <c r="J45" s="358">
        <f>+'SOFP working'!J131</f>
        <v>21707.015671677633</v>
      </c>
      <c r="K45" s="358">
        <f>+'SOFP working'!K131</f>
        <v>26769.634549652124</v>
      </c>
      <c r="L45" s="13"/>
    </row>
    <row r="46" spans="1:19" x14ac:dyDescent="0.3">
      <c r="A46" s="77" t="s">
        <v>102</v>
      </c>
      <c r="B46" s="72">
        <v>9817</v>
      </c>
      <c r="C46" s="72" t="s">
        <v>82</v>
      </c>
      <c r="D46" s="72" t="s">
        <v>82</v>
      </c>
      <c r="E46" s="72" t="s">
        <v>82</v>
      </c>
      <c r="F46" s="72" t="s">
        <v>82</v>
      </c>
      <c r="G46" s="358" t="s">
        <v>82</v>
      </c>
      <c r="H46" s="358" t="s">
        <v>82</v>
      </c>
      <c r="I46" s="358" t="s">
        <v>82</v>
      </c>
      <c r="J46" s="358" t="s">
        <v>82</v>
      </c>
      <c r="K46" s="358" t="s">
        <v>82</v>
      </c>
      <c r="L46" s="13"/>
    </row>
    <row r="47" spans="1:19" x14ac:dyDescent="0.3">
      <c r="A47" s="77" t="s">
        <v>439</v>
      </c>
      <c r="B47" s="72">
        <v>789378</v>
      </c>
      <c r="C47" s="72">
        <v>553370</v>
      </c>
      <c r="D47" s="72">
        <v>967425</v>
      </c>
      <c r="E47" s="72">
        <v>1679622</v>
      </c>
      <c r="F47" s="72">
        <v>1822146</v>
      </c>
      <c r="G47" s="358">
        <f>+'SOFP working'!G121</f>
        <v>1162388.2</v>
      </c>
      <c r="H47" s="358">
        <f>+'SOFP working'!H121</f>
        <v>1236990.24</v>
      </c>
      <c r="I47" s="358">
        <f>+'SOFP working'!I121</f>
        <v>1373714.2880000002</v>
      </c>
      <c r="J47" s="358">
        <f>+'SOFP working'!J121</f>
        <v>1454972.1455999999</v>
      </c>
      <c r="K47" s="358">
        <f>+'SOFP working'!K121</f>
        <v>1410042.17472</v>
      </c>
      <c r="L47" s="13"/>
    </row>
    <row r="48" spans="1:19" x14ac:dyDescent="0.3">
      <c r="A48" s="77" t="s">
        <v>6</v>
      </c>
      <c r="B48" s="72">
        <v>2742897</v>
      </c>
      <c r="C48" s="72">
        <v>4290248</v>
      </c>
      <c r="D48" s="72">
        <v>5262770</v>
      </c>
      <c r="E48" s="72">
        <v>4452472</v>
      </c>
      <c r="F48" s="72">
        <v>6383354</v>
      </c>
      <c r="G48" s="358">
        <f>+CashFlow!G34</f>
        <v>9542308.2964559495</v>
      </c>
      <c r="H48" s="358">
        <f>+CashFlow!H34</f>
        <v>10440885.587610848</v>
      </c>
      <c r="I48" s="358">
        <f>+CashFlow!I34</f>
        <v>10782441.376183376</v>
      </c>
      <c r="J48" s="358">
        <f>+CashFlow!J34</f>
        <v>10469415.056322321</v>
      </c>
      <c r="K48" s="358">
        <f>+CashFlow!K34</f>
        <v>10660280.749896325</v>
      </c>
      <c r="L48" s="13"/>
    </row>
    <row r="49" spans="1:12" x14ac:dyDescent="0.3">
      <c r="A49" s="28"/>
      <c r="B49" s="343">
        <f>SUM(B43:B48)</f>
        <v>11127755</v>
      </c>
      <c r="C49" s="343">
        <f t="shared" ref="C49:K49" si="13">SUM(C43:C48)</f>
        <v>13359457</v>
      </c>
      <c r="D49" s="343">
        <f t="shared" si="13"/>
        <v>16289050</v>
      </c>
      <c r="E49" s="343">
        <f t="shared" si="13"/>
        <v>20599835</v>
      </c>
      <c r="F49" s="343">
        <f t="shared" si="13"/>
        <v>37897277</v>
      </c>
      <c r="G49" s="362">
        <f t="shared" si="13"/>
        <v>30787190.235438887</v>
      </c>
      <c r="H49" s="362">
        <f t="shared" si="13"/>
        <v>34767764.021005645</v>
      </c>
      <c r="I49" s="362">
        <f t="shared" si="13"/>
        <v>39819787.603261068</v>
      </c>
      <c r="J49" s="362">
        <f t="shared" si="13"/>
        <v>45591731.940343454</v>
      </c>
      <c r="K49" s="362">
        <f t="shared" si="13"/>
        <v>50416830.686136045</v>
      </c>
      <c r="L49" s="13"/>
    </row>
    <row r="50" spans="1:12" ht="15" thickBot="1" x14ac:dyDescent="0.35">
      <c r="A50" s="365" t="s">
        <v>7</v>
      </c>
      <c r="B50" s="366">
        <f>+B49+B41</f>
        <v>19564936</v>
      </c>
      <c r="C50" s="366">
        <f t="shared" ref="C50:K50" si="14">+C49+C41</f>
        <v>22385931</v>
      </c>
      <c r="D50" s="366">
        <f t="shared" si="14"/>
        <v>26962493</v>
      </c>
      <c r="E50" s="366">
        <f t="shared" si="14"/>
        <v>31099339</v>
      </c>
      <c r="F50" s="366">
        <f t="shared" si="14"/>
        <v>59893775</v>
      </c>
      <c r="G50" s="363">
        <f t="shared" si="14"/>
        <v>52633237.428089291</v>
      </c>
      <c r="H50" s="363">
        <f t="shared" si="14"/>
        <v>56644510.45877856</v>
      </c>
      <c r="I50" s="363">
        <f t="shared" si="14"/>
        <v>61811092.071485817</v>
      </c>
      <c r="J50" s="363">
        <f t="shared" si="14"/>
        <v>67614426.656394601</v>
      </c>
      <c r="K50" s="363">
        <f t="shared" si="14"/>
        <v>72606734.376234651</v>
      </c>
      <c r="L50" s="15"/>
    </row>
    <row r="51" spans="1:12" x14ac:dyDescent="0.3">
      <c r="A51" s="77"/>
      <c r="B51" s="72"/>
      <c r="C51" s="72"/>
      <c r="D51" s="72"/>
      <c r="E51" s="72"/>
      <c r="F51" s="72"/>
      <c r="G51" s="358"/>
      <c r="H51" s="358"/>
      <c r="I51" s="358"/>
      <c r="J51" s="358"/>
      <c r="K51" s="358"/>
      <c r="L51" s="13"/>
    </row>
    <row r="52" spans="1:12" x14ac:dyDescent="0.3">
      <c r="A52" s="77"/>
      <c r="B52" s="72"/>
      <c r="C52" s="72"/>
      <c r="D52" s="72"/>
      <c r="E52" s="72"/>
      <c r="F52" s="72"/>
      <c r="G52" s="358"/>
      <c r="H52" s="358"/>
      <c r="I52" s="358"/>
      <c r="J52" s="358"/>
      <c r="K52" s="358"/>
      <c r="L52" s="13"/>
    </row>
    <row r="53" spans="1:12" x14ac:dyDescent="0.3">
      <c r="A53" s="28" t="s">
        <v>8</v>
      </c>
      <c r="B53" s="343"/>
      <c r="C53" s="343"/>
      <c r="D53" s="343"/>
      <c r="E53" s="343"/>
      <c r="F53" s="343"/>
      <c r="G53" s="362"/>
      <c r="H53" s="362"/>
      <c r="I53" s="362"/>
      <c r="J53" s="362"/>
      <c r="K53" s="362"/>
      <c r="L53" s="13"/>
    </row>
    <row r="54" spans="1:12" x14ac:dyDescent="0.3">
      <c r="A54" s="28" t="s">
        <v>88</v>
      </c>
      <c r="B54" s="343"/>
      <c r="C54" s="343"/>
      <c r="D54" s="343"/>
      <c r="E54" s="343"/>
      <c r="F54" s="343"/>
      <c r="G54" s="362"/>
      <c r="H54" s="362"/>
      <c r="I54" s="362"/>
      <c r="J54" s="362"/>
      <c r="K54" s="362"/>
      <c r="L54" s="13"/>
    </row>
    <row r="55" spans="1:12" x14ac:dyDescent="0.3">
      <c r="A55" s="77" t="s">
        <v>59</v>
      </c>
      <c r="B55" s="72">
        <v>4056683</v>
      </c>
      <c r="C55" s="72">
        <v>4056683</v>
      </c>
      <c r="D55" s="72">
        <v>4056683</v>
      </c>
      <c r="E55" s="72">
        <v>4248787</v>
      </c>
      <c r="F55" s="72">
        <v>4442234</v>
      </c>
      <c r="G55" s="358">
        <f>+'Changes in Equity'!G15</f>
        <v>4442234</v>
      </c>
      <c r="H55" s="358">
        <f>+'Changes in Equity'!H15</f>
        <v>4442234</v>
      </c>
      <c r="I55" s="358">
        <f>+'Changes in Equity'!I15</f>
        <v>4442234</v>
      </c>
      <c r="J55" s="358">
        <f>+'Changes in Equity'!J15</f>
        <v>4442234</v>
      </c>
      <c r="K55" s="358">
        <f>+'Changes in Equity'!K15</f>
        <v>4442234</v>
      </c>
      <c r="L55" s="13"/>
    </row>
    <row r="56" spans="1:12" x14ac:dyDescent="0.3">
      <c r="A56" s="79" t="s">
        <v>100</v>
      </c>
      <c r="B56" s="72">
        <v>9673</v>
      </c>
      <c r="C56" s="367" t="s">
        <v>82</v>
      </c>
      <c r="D56" s="367" t="s">
        <v>82</v>
      </c>
      <c r="E56" s="367" t="s">
        <v>82</v>
      </c>
      <c r="F56" s="367" t="s">
        <v>82</v>
      </c>
      <c r="G56" s="364" t="s">
        <v>82</v>
      </c>
      <c r="H56" s="364" t="s">
        <v>82</v>
      </c>
      <c r="I56" s="364" t="s">
        <v>82</v>
      </c>
      <c r="J56" s="364" t="s">
        <v>82</v>
      </c>
      <c r="K56" s="364" t="s">
        <v>82</v>
      </c>
      <c r="L56" s="13"/>
    </row>
    <row r="57" spans="1:12" x14ac:dyDescent="0.3">
      <c r="A57" s="77" t="s">
        <v>89</v>
      </c>
      <c r="B57" s="72">
        <v>2577679</v>
      </c>
      <c r="C57" s="4">
        <v>4171784</v>
      </c>
      <c r="D57" s="72">
        <v>5263417</v>
      </c>
      <c r="E57" s="72">
        <v>6225275</v>
      </c>
      <c r="F57" s="72">
        <v>15219688</v>
      </c>
      <c r="G57" s="358">
        <f>+'Changes in Equity'!G21</f>
        <v>17774424.399999999</v>
      </c>
      <c r="H57" s="358">
        <f>+'Changes in Equity'!H21</f>
        <v>20329160.799999997</v>
      </c>
      <c r="I57" s="358">
        <f>+'Changes in Equity'!I21</f>
        <v>23287741.099999998</v>
      </c>
      <c r="J57" s="358">
        <f>+'Changes in Equity'!J21</f>
        <v>26473733.949999999</v>
      </c>
      <c r="K57" s="358">
        <f>+'Changes in Equity'!K21</f>
        <v>30008786.774999999</v>
      </c>
      <c r="L57" s="13"/>
    </row>
    <row r="58" spans="1:12" x14ac:dyDescent="0.3">
      <c r="A58" s="77" t="s">
        <v>90</v>
      </c>
      <c r="B58" s="72">
        <v>85505</v>
      </c>
      <c r="C58" s="4">
        <v>96760</v>
      </c>
      <c r="D58" s="72">
        <v>96760</v>
      </c>
      <c r="E58" s="72">
        <v>153491</v>
      </c>
      <c r="F58" s="72">
        <v>153491</v>
      </c>
      <c r="G58" s="358">
        <f>+'Changes in Equity'!G32</f>
        <v>183406</v>
      </c>
      <c r="H58" s="358">
        <f>+'Changes in Equity'!H32</f>
        <v>213321</v>
      </c>
      <c r="I58" s="358">
        <f>+'Changes in Equity'!I32</f>
        <v>245275</v>
      </c>
      <c r="J58" s="358">
        <f>+'Changes in Equity'!J32</f>
        <v>282403.75</v>
      </c>
      <c r="K58" s="358">
        <f>+'Changes in Equity'!K32</f>
        <v>319532.5</v>
      </c>
      <c r="L58" s="13"/>
    </row>
    <row r="59" spans="1:12" x14ac:dyDescent="0.3">
      <c r="A59" s="77" t="s">
        <v>91</v>
      </c>
      <c r="B59" s="72">
        <v>4971882</v>
      </c>
      <c r="C59" s="4">
        <v>5600028</v>
      </c>
      <c r="D59" s="72">
        <v>6231783</v>
      </c>
      <c r="E59" s="72">
        <v>7136671</v>
      </c>
      <c r="F59" s="72">
        <v>8410456</v>
      </c>
      <c r="G59" s="358">
        <f>+'Changes in Equity'!G47</f>
        <v>9227450.6045130566</v>
      </c>
      <c r="H59" s="358">
        <f>+'Changes in Equity'!H47</f>
        <v>10218918.227395572</v>
      </c>
      <c r="I59" s="358">
        <f>+'Changes in Equity'!I47</f>
        <v>11270143.402482903</v>
      </c>
      <c r="J59" s="358">
        <f>+'Changes in Equity'!J47</f>
        <v>12415721.409840705</v>
      </c>
      <c r="K59" s="358">
        <f>+'Changes in Equity'!K47</f>
        <v>13900477.008831937</v>
      </c>
      <c r="L59" s="13"/>
    </row>
    <row r="60" spans="1:12" x14ac:dyDescent="0.3">
      <c r="A60" s="77"/>
      <c r="B60" s="343">
        <f t="shared" ref="B60:K60" si="15">SUM(B55:B59)</f>
        <v>11701422</v>
      </c>
      <c r="C60" s="343">
        <f t="shared" si="15"/>
        <v>13925255</v>
      </c>
      <c r="D60" s="343">
        <f t="shared" si="15"/>
        <v>15648643</v>
      </c>
      <c r="E60" s="343">
        <f t="shared" si="15"/>
        <v>17764224</v>
      </c>
      <c r="F60" s="343">
        <f t="shared" si="15"/>
        <v>28225869</v>
      </c>
      <c r="G60" s="362">
        <f t="shared" si="15"/>
        <v>31627515.004513055</v>
      </c>
      <c r="H60" s="362">
        <f t="shared" si="15"/>
        <v>35203634.027395569</v>
      </c>
      <c r="I60" s="362">
        <f t="shared" si="15"/>
        <v>39245393.502482899</v>
      </c>
      <c r="J60" s="362">
        <f t="shared" si="15"/>
        <v>43614093.109840706</v>
      </c>
      <c r="K60" s="362">
        <f t="shared" si="15"/>
        <v>48671030.283831939</v>
      </c>
      <c r="L60" s="13"/>
    </row>
    <row r="61" spans="1:12" x14ac:dyDescent="0.3">
      <c r="A61" s="77"/>
      <c r="B61" s="72"/>
      <c r="C61" s="72"/>
      <c r="D61" s="72"/>
      <c r="E61" s="72"/>
      <c r="F61" s="72"/>
      <c r="G61" s="358"/>
      <c r="H61" s="358"/>
      <c r="I61" s="358"/>
      <c r="J61" s="358"/>
      <c r="K61" s="358"/>
      <c r="L61" s="13"/>
    </row>
    <row r="62" spans="1:12" x14ac:dyDescent="0.3">
      <c r="A62" s="28" t="s">
        <v>92</v>
      </c>
      <c r="B62" s="343"/>
      <c r="C62" s="343"/>
      <c r="D62" s="343"/>
      <c r="E62" s="343"/>
      <c r="F62" s="343"/>
      <c r="G62" s="362"/>
      <c r="H62" s="362"/>
      <c r="I62" s="362"/>
      <c r="J62" s="362"/>
      <c r="K62" s="362"/>
      <c r="L62" s="13"/>
    </row>
    <row r="63" spans="1:12" x14ac:dyDescent="0.3">
      <c r="A63" s="77" t="s">
        <v>93</v>
      </c>
      <c r="B63" s="72">
        <v>1106784</v>
      </c>
      <c r="C63" s="72">
        <v>801182</v>
      </c>
      <c r="D63" s="72">
        <v>412192</v>
      </c>
      <c r="E63" s="72">
        <v>197620</v>
      </c>
      <c r="F63" s="72">
        <v>5581171</v>
      </c>
      <c r="G63" s="358">
        <f>+'SOFP working'!G40</f>
        <v>4422691.2040138617</v>
      </c>
      <c r="H63" s="358">
        <f>+'SOFP working'!H40</f>
        <v>3854139.4639251628</v>
      </c>
      <c r="I63" s="358">
        <f>+'SOFP working'!I40</f>
        <v>3176527.6901543099</v>
      </c>
      <c r="J63" s="358">
        <f>+'SOFP working'!J40</f>
        <v>2398990.2277951408</v>
      </c>
      <c r="K63" s="358">
        <f>+'SOFP working'!K40</f>
        <v>1501369.2407345427</v>
      </c>
      <c r="L63" s="13"/>
    </row>
    <row r="64" spans="1:12" x14ac:dyDescent="0.3">
      <c r="A64" s="77" t="s">
        <v>94</v>
      </c>
      <c r="B64" s="72" t="s">
        <v>82</v>
      </c>
      <c r="C64" s="72" t="s">
        <v>82</v>
      </c>
      <c r="D64" s="72">
        <v>627993</v>
      </c>
      <c r="E64" s="72">
        <v>654657</v>
      </c>
      <c r="F64" s="72">
        <v>930430</v>
      </c>
      <c r="G64" s="358">
        <f>+PPE!G366</f>
        <v>979018.75818530167</v>
      </c>
      <c r="H64" s="358">
        <f>+PPE!H366</f>
        <v>1009032.7160945046</v>
      </c>
      <c r="I64" s="358">
        <f>+PPE!I366</f>
        <v>1035997.8250462452</v>
      </c>
      <c r="J64" s="358">
        <f>+PPE!J366</f>
        <v>1073761.0805684715</v>
      </c>
      <c r="K64" s="358">
        <f>+PPE!K366</f>
        <v>1107335.6587395165</v>
      </c>
      <c r="L64" s="13"/>
    </row>
    <row r="65" spans="1:13" x14ac:dyDescent="0.3">
      <c r="A65" s="77" t="s">
        <v>95</v>
      </c>
      <c r="B65" s="72">
        <v>318004</v>
      </c>
      <c r="C65" s="72">
        <v>538266</v>
      </c>
      <c r="D65" s="72">
        <v>647592</v>
      </c>
      <c r="E65" s="72">
        <v>626990</v>
      </c>
      <c r="F65" s="72">
        <v>918784</v>
      </c>
      <c r="G65" s="358">
        <f>+'SOFP working'!G164</f>
        <v>754654.42207870283</v>
      </c>
      <c r="H65" s="358">
        <f>+'SOFP working'!H164</f>
        <v>714460.72317509132</v>
      </c>
      <c r="I65" s="358">
        <f>+'SOFP working'!I164</f>
        <v>668816.44398304261</v>
      </c>
      <c r="J65" s="358">
        <f>+'SOFP working'!J164</f>
        <v>646429.85772467987</v>
      </c>
      <c r="K65" s="358">
        <f>+'SOFP working'!K164</f>
        <v>609119.96772148763</v>
      </c>
      <c r="L65" s="13"/>
    </row>
    <row r="66" spans="1:13" x14ac:dyDescent="0.3">
      <c r="A66" s="77" t="s">
        <v>96</v>
      </c>
      <c r="B66" s="72">
        <v>207666</v>
      </c>
      <c r="C66" s="72">
        <v>251932</v>
      </c>
      <c r="D66" s="72">
        <v>377583</v>
      </c>
      <c r="E66" s="72">
        <v>520422</v>
      </c>
      <c r="F66" s="72">
        <v>424817</v>
      </c>
      <c r="G66" s="358">
        <f>+'SOFP working'!G109</f>
        <v>356484</v>
      </c>
      <c r="H66" s="358">
        <f>+'SOFP working'!H109</f>
        <v>386247.6</v>
      </c>
      <c r="I66" s="358">
        <f>+'SOFP working'!I109</f>
        <v>413110.72000000003</v>
      </c>
      <c r="J66" s="358">
        <f>+'SOFP working'!J109</f>
        <v>420216.26400000008</v>
      </c>
      <c r="K66" s="358">
        <f>+'SOFP working'!K109</f>
        <v>400175.11680000008</v>
      </c>
      <c r="L66" s="13"/>
    </row>
    <row r="67" spans="1:13" x14ac:dyDescent="0.3">
      <c r="A67" s="77"/>
      <c r="B67" s="343">
        <f>SUM(B63:B66)</f>
        <v>1632454</v>
      </c>
      <c r="C67" s="343">
        <f t="shared" ref="C67:K67" si="16">SUM(C63:C66)</f>
        <v>1591380</v>
      </c>
      <c r="D67" s="343">
        <f t="shared" si="16"/>
        <v>2065360</v>
      </c>
      <c r="E67" s="343">
        <f t="shared" si="16"/>
        <v>1999689</v>
      </c>
      <c r="F67" s="343">
        <f t="shared" si="16"/>
        <v>7855202</v>
      </c>
      <c r="G67" s="362">
        <f t="shared" si="16"/>
        <v>6512848.3842778662</v>
      </c>
      <c r="H67" s="362">
        <f t="shared" si="16"/>
        <v>5963880.5031947587</v>
      </c>
      <c r="I67" s="362">
        <f t="shared" si="16"/>
        <v>5294452.6791835977</v>
      </c>
      <c r="J67" s="362">
        <f t="shared" si="16"/>
        <v>4539397.4300882928</v>
      </c>
      <c r="K67" s="362">
        <f t="shared" si="16"/>
        <v>3617999.9839955466</v>
      </c>
      <c r="L67" s="13"/>
    </row>
    <row r="68" spans="1:13" x14ac:dyDescent="0.3">
      <c r="A68" s="28" t="s">
        <v>97</v>
      </c>
      <c r="B68" s="343"/>
      <c r="C68" s="343"/>
      <c r="D68" s="343"/>
      <c r="E68" s="343"/>
      <c r="F68" s="343"/>
      <c r="G68" s="362"/>
      <c r="H68" s="362"/>
      <c r="I68" s="362"/>
      <c r="J68" s="362"/>
      <c r="K68" s="362"/>
      <c r="L68" s="13"/>
    </row>
    <row r="69" spans="1:13" x14ac:dyDescent="0.3">
      <c r="A69" s="77" t="s">
        <v>93</v>
      </c>
      <c r="B69" s="72">
        <v>1729455</v>
      </c>
      <c r="C69" s="72">
        <v>2166685</v>
      </c>
      <c r="D69" s="72">
        <v>3502111</v>
      </c>
      <c r="E69" s="72">
        <v>3108290</v>
      </c>
      <c r="F69" s="72">
        <v>5913542</v>
      </c>
      <c r="G69" s="358">
        <f>+'SOFP working'!G34</f>
        <v>3828636.7959861383</v>
      </c>
      <c r="H69" s="358">
        <f>+'SOFP working'!H34</f>
        <v>3336452.7360748379</v>
      </c>
      <c r="I69" s="358">
        <f>+'SOFP working'!I34</f>
        <v>2749857.5498456908</v>
      </c>
      <c r="J69" s="358">
        <f>+'SOFP working'!J34</f>
        <v>2076758.6602048595</v>
      </c>
      <c r="K69" s="358">
        <f>+'SOFP working'!K34</f>
        <v>1299705.8248654578</v>
      </c>
      <c r="L69" s="13"/>
    </row>
    <row r="70" spans="1:13" x14ac:dyDescent="0.3">
      <c r="A70" s="77" t="s">
        <v>94</v>
      </c>
      <c r="B70" s="72" t="s">
        <v>82</v>
      </c>
      <c r="C70" s="72" t="s">
        <v>82</v>
      </c>
      <c r="D70" s="72">
        <v>12106</v>
      </c>
      <c r="E70" s="72">
        <v>13663</v>
      </c>
      <c r="F70" s="72">
        <v>43051</v>
      </c>
      <c r="G70" s="358">
        <f>+PPE!G365</f>
        <v>28057.227248706782</v>
      </c>
      <c r="H70" s="358">
        <f>+PPE!H365</f>
        <v>32111.547189891764</v>
      </c>
      <c r="I70" s="358">
        <f>+PPE!I365</f>
        <v>36806.63838337933</v>
      </c>
      <c r="J70" s="358">
        <f>+PPE!J365</f>
        <v>34355.853158499332</v>
      </c>
      <c r="K70" s="358">
        <f>+PPE!K365</f>
        <v>36667.266407006726</v>
      </c>
      <c r="L70" s="13"/>
    </row>
    <row r="71" spans="1:13" x14ac:dyDescent="0.3">
      <c r="A71" s="77" t="s">
        <v>98</v>
      </c>
      <c r="B71" s="72">
        <v>14647</v>
      </c>
      <c r="C71" s="72" t="s">
        <v>82</v>
      </c>
      <c r="D71" s="72">
        <v>91594</v>
      </c>
      <c r="E71" s="72">
        <v>126421</v>
      </c>
      <c r="F71" s="72">
        <v>232725</v>
      </c>
      <c r="G71" s="358">
        <f>+'SOFP working'!G137</f>
        <v>138870.81383229789</v>
      </c>
      <c r="H71" s="358">
        <f>+'SOFP working'!H137</f>
        <v>158337.51209471474</v>
      </c>
      <c r="I71" s="358">
        <f>+'SOFP working'!I137</f>
        <v>182024.3971941022</v>
      </c>
      <c r="J71" s="358">
        <f>+'SOFP working'!J137</f>
        <v>210214.46268705986</v>
      </c>
      <c r="K71" s="358">
        <f>+'SOFP working'!K137</f>
        <v>221758.16309152884</v>
      </c>
      <c r="L71" s="13"/>
      <c r="M71" s="27">
        <f>+(F71/B71)-1</f>
        <v>14.88891923260736</v>
      </c>
    </row>
    <row r="72" spans="1:13" x14ac:dyDescent="0.3">
      <c r="A72" s="77" t="s">
        <v>10</v>
      </c>
      <c r="B72" s="72">
        <v>4486958</v>
      </c>
      <c r="C72" s="72">
        <v>4702611</v>
      </c>
      <c r="D72" s="72">
        <v>5642679</v>
      </c>
      <c r="E72" s="72">
        <v>8087052</v>
      </c>
      <c r="F72" s="72">
        <v>17623386</v>
      </c>
      <c r="G72" s="358">
        <f>+'SOFP working'!G101</f>
        <v>10497309.202231232</v>
      </c>
      <c r="H72" s="358">
        <f>+'SOFP working'!H101</f>
        <v>11950094.132828798</v>
      </c>
      <c r="I72" s="358">
        <f>+'SOFP working'!I101</f>
        <v>14302557.304396152</v>
      </c>
      <c r="J72" s="358">
        <f>+'SOFP working'!J101</f>
        <v>17139607.140415192</v>
      </c>
      <c r="K72" s="358">
        <f>+'SOFP working'!K101</f>
        <v>18759572.854043163</v>
      </c>
      <c r="L72" s="13"/>
      <c r="M72" s="4">
        <f>+F71-B71</f>
        <v>218078</v>
      </c>
    </row>
    <row r="73" spans="1:13" x14ac:dyDescent="0.3">
      <c r="A73" s="28"/>
      <c r="B73" s="343">
        <f t="shared" ref="B73:E73" si="17">SUM(B69:B72)</f>
        <v>6231060</v>
      </c>
      <c r="C73" s="343">
        <f t="shared" si="17"/>
        <v>6869296</v>
      </c>
      <c r="D73" s="343">
        <f t="shared" si="17"/>
        <v>9248490</v>
      </c>
      <c r="E73" s="343">
        <f t="shared" si="17"/>
        <v>11335426</v>
      </c>
      <c r="F73" s="343">
        <f>SUM(F69:F72)</f>
        <v>23812704</v>
      </c>
      <c r="G73" s="362">
        <f t="shared" ref="G73:K73" si="18">SUM(G69:G72)</f>
        <v>14492874.039298374</v>
      </c>
      <c r="H73" s="362">
        <f t="shared" si="18"/>
        <v>15476995.928188242</v>
      </c>
      <c r="I73" s="362">
        <f t="shared" si="18"/>
        <v>17271245.889819324</v>
      </c>
      <c r="J73" s="362">
        <f t="shared" si="18"/>
        <v>19460936.11646561</v>
      </c>
      <c r="K73" s="362">
        <f t="shared" si="18"/>
        <v>20317704.108407158</v>
      </c>
      <c r="L73" s="13"/>
      <c r="M73" s="4">
        <f>+M72/B71</f>
        <v>14.88891923260736</v>
      </c>
    </row>
    <row r="74" spans="1:13" x14ac:dyDescent="0.3">
      <c r="A74" s="28"/>
      <c r="B74" s="343"/>
      <c r="C74" s="343"/>
      <c r="D74" s="343"/>
      <c r="E74" s="343"/>
      <c r="F74" s="343"/>
      <c r="G74" s="362"/>
      <c r="H74" s="362"/>
      <c r="I74" s="362"/>
      <c r="J74" s="362"/>
      <c r="K74" s="362"/>
      <c r="L74" s="13"/>
    </row>
    <row r="75" spans="1:13" x14ac:dyDescent="0.3">
      <c r="A75" s="28" t="s">
        <v>11</v>
      </c>
      <c r="B75" s="343">
        <f>B73+B67</f>
        <v>7863514</v>
      </c>
      <c r="C75" s="343">
        <f t="shared" ref="C75:K75" si="19">C73+C67</f>
        <v>8460676</v>
      </c>
      <c r="D75" s="343">
        <f t="shared" si="19"/>
        <v>11313850</v>
      </c>
      <c r="E75" s="343">
        <f>E73+E67</f>
        <v>13335115</v>
      </c>
      <c r="F75" s="343">
        <f t="shared" si="19"/>
        <v>31667906</v>
      </c>
      <c r="G75" s="362">
        <f t="shared" si="19"/>
        <v>21005722.423576239</v>
      </c>
      <c r="H75" s="362">
        <f t="shared" si="19"/>
        <v>21440876.431382999</v>
      </c>
      <c r="I75" s="362">
        <f t="shared" si="19"/>
        <v>22565698.569002923</v>
      </c>
      <c r="J75" s="362">
        <f t="shared" si="19"/>
        <v>24000333.546553902</v>
      </c>
      <c r="K75" s="362">
        <f t="shared" si="19"/>
        <v>23935704.092402704</v>
      </c>
      <c r="L75" s="15">
        <f>+F76-F50</f>
        <v>0</v>
      </c>
    </row>
    <row r="76" spans="1:13" ht="15" thickBot="1" x14ac:dyDescent="0.35">
      <c r="A76" s="365" t="s">
        <v>12</v>
      </c>
      <c r="B76" s="366">
        <f>B75+B60</f>
        <v>19564936</v>
      </c>
      <c r="C76" s="366">
        <f t="shared" ref="C76:K76" si="20">C75+C60</f>
        <v>22385931</v>
      </c>
      <c r="D76" s="366">
        <f t="shared" si="20"/>
        <v>26962493</v>
      </c>
      <c r="E76" s="366">
        <f t="shared" si="20"/>
        <v>31099339</v>
      </c>
      <c r="F76" s="366">
        <f t="shared" si="20"/>
        <v>59893775</v>
      </c>
      <c r="G76" s="363">
        <f t="shared" si="20"/>
        <v>52633237.428089291</v>
      </c>
      <c r="H76" s="363">
        <f t="shared" si="20"/>
        <v>56644510.458778568</v>
      </c>
      <c r="I76" s="363">
        <f t="shared" si="20"/>
        <v>61811092.071485817</v>
      </c>
      <c r="J76" s="363">
        <f t="shared" si="20"/>
        <v>67614426.656394601</v>
      </c>
      <c r="K76" s="363">
        <f t="shared" si="20"/>
        <v>72606734.376234651</v>
      </c>
      <c r="L76" s="13"/>
      <c r="M76" s="27">
        <f>(+F72/E72)-1</f>
        <v>1.179210174486327</v>
      </c>
    </row>
    <row r="77" spans="1:13" x14ac:dyDescent="0.3">
      <c r="A77" s="28"/>
      <c r="B77" s="343"/>
      <c r="C77" s="343"/>
      <c r="D77" s="343"/>
      <c r="E77" s="343"/>
      <c r="F77" s="343"/>
      <c r="G77" s="362"/>
      <c r="H77" s="362"/>
      <c r="I77" s="362"/>
      <c r="J77" s="362"/>
      <c r="K77" s="362"/>
      <c r="L77" s="13"/>
      <c r="M77" s="27"/>
    </row>
    <row r="78" spans="1:13" x14ac:dyDescent="0.3">
      <c r="A78" s="13"/>
      <c r="B78" s="15"/>
      <c r="C78" s="15"/>
      <c r="D78" s="15"/>
      <c r="E78" s="14"/>
      <c r="F78" s="14"/>
      <c r="G78" s="14"/>
      <c r="H78" s="14"/>
      <c r="I78" s="14"/>
      <c r="J78" s="14"/>
      <c r="K78" s="14"/>
      <c r="L78" s="13"/>
    </row>
    <row r="79" spans="1:13" x14ac:dyDescent="0.3">
      <c r="A79" s="13"/>
      <c r="B79" s="65">
        <f t="shared" ref="B79:K79" si="21">+B76-B50</f>
        <v>0</v>
      </c>
      <c r="C79" s="65">
        <f t="shared" si="21"/>
        <v>0</v>
      </c>
      <c r="D79" s="65">
        <f t="shared" si="21"/>
        <v>0</v>
      </c>
      <c r="E79" s="65">
        <f t="shared" si="21"/>
        <v>0</v>
      </c>
      <c r="F79" s="65">
        <f t="shared" si="21"/>
        <v>0</v>
      </c>
      <c r="G79" s="65">
        <f t="shared" si="21"/>
        <v>0</v>
      </c>
      <c r="H79" s="65">
        <f t="shared" si="21"/>
        <v>0</v>
      </c>
      <c r="I79" s="65">
        <f t="shared" si="21"/>
        <v>0</v>
      </c>
      <c r="J79" s="65">
        <f t="shared" si="21"/>
        <v>0</v>
      </c>
      <c r="K79" s="65">
        <f t="shared" si="21"/>
        <v>0</v>
      </c>
      <c r="L79" s="13"/>
    </row>
    <row r="80" spans="1:13" x14ac:dyDescent="0.3">
      <c r="A80" s="13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3"/>
    </row>
    <row r="81" spans="1:21" x14ac:dyDescent="0.3">
      <c r="A81" s="11"/>
      <c r="B81" s="11"/>
      <c r="C81" s="11"/>
      <c r="D81" s="12"/>
      <c r="E81" s="12"/>
      <c r="F81" s="12"/>
      <c r="G81" s="12"/>
      <c r="H81" s="12"/>
      <c r="I81" s="12"/>
      <c r="J81" s="12"/>
      <c r="K81" s="12"/>
      <c r="L81" s="13"/>
    </row>
    <row r="82" spans="1:21" x14ac:dyDescent="0.3">
      <c r="A82" s="25" t="s">
        <v>15</v>
      </c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13"/>
    </row>
    <row r="83" spans="1:21" x14ac:dyDescent="0.3">
      <c r="L83" s="13"/>
    </row>
    <row r="84" spans="1:21" x14ac:dyDescent="0.3">
      <c r="A84" s="9" t="s">
        <v>16</v>
      </c>
      <c r="B84" s="120">
        <v>2018</v>
      </c>
      <c r="C84" s="120">
        <v>2019</v>
      </c>
      <c r="D84" s="120">
        <v>2020</v>
      </c>
      <c r="E84" s="121">
        <v>2021</v>
      </c>
      <c r="F84" s="121">
        <v>2022</v>
      </c>
      <c r="G84" s="119">
        <v>2023</v>
      </c>
      <c r="H84" s="119">
        <v>2024</v>
      </c>
      <c r="I84" s="119">
        <v>2025</v>
      </c>
      <c r="J84" s="119">
        <v>2026</v>
      </c>
      <c r="K84" s="119">
        <v>2027</v>
      </c>
      <c r="L84" s="13"/>
    </row>
    <row r="85" spans="1:21" x14ac:dyDescent="0.3">
      <c r="A85" t="s">
        <v>21</v>
      </c>
      <c r="B85" s="74">
        <f t="shared" ref="B85:K85" si="22">+B7/B5</f>
        <v>0.11811341585803795</v>
      </c>
      <c r="C85" s="74">
        <f t="shared" si="22"/>
        <v>0.11610877791228741</v>
      </c>
      <c r="D85" s="74">
        <f t="shared" si="22"/>
        <v>0.12708612705673736</v>
      </c>
      <c r="E85" s="74">
        <f t="shared" si="22"/>
        <v>0.11925502749550373</v>
      </c>
      <c r="F85" s="74">
        <f t="shared" si="22"/>
        <v>9.2313550118734461E-2</v>
      </c>
      <c r="G85" s="74">
        <f t="shared" si="22"/>
        <v>0.11457537968826008</v>
      </c>
      <c r="H85" s="74">
        <f t="shared" si="22"/>
        <v>0.11386777245430457</v>
      </c>
      <c r="I85" s="74">
        <f t="shared" si="22"/>
        <v>0.11341957136270808</v>
      </c>
      <c r="J85" s="74">
        <f t="shared" si="22"/>
        <v>0.1106862602239021</v>
      </c>
      <c r="K85" s="74">
        <f t="shared" si="22"/>
        <v>0.10897250676958174</v>
      </c>
      <c r="L85" s="13"/>
    </row>
    <row r="86" spans="1:21" x14ac:dyDescent="0.3">
      <c r="A86" s="16" t="s">
        <v>22</v>
      </c>
      <c r="B86" s="74"/>
      <c r="C86" s="74"/>
      <c r="D86" s="74"/>
      <c r="E86" s="74"/>
      <c r="F86" s="74"/>
      <c r="G86" s="74"/>
      <c r="H86" s="74"/>
      <c r="I86" s="74"/>
      <c r="J86" s="74"/>
      <c r="K86" s="74"/>
      <c r="L86" s="13"/>
    </row>
    <row r="87" spans="1:21" x14ac:dyDescent="0.3">
      <c r="B87" s="74"/>
      <c r="C87" s="74"/>
      <c r="D87" s="74"/>
      <c r="E87" s="74"/>
      <c r="F87" s="74"/>
      <c r="G87" s="74"/>
      <c r="H87" s="74"/>
      <c r="I87" s="74"/>
      <c r="J87" s="74"/>
      <c r="K87" s="74"/>
      <c r="L87" s="13"/>
    </row>
    <row r="88" spans="1:21" x14ac:dyDescent="0.3">
      <c r="A88" t="s">
        <v>23</v>
      </c>
      <c r="B88" s="74">
        <f t="shared" ref="B88:K88" si="23">+B12/B5</f>
        <v>7.346963714922998E-2</v>
      </c>
      <c r="C88" s="74">
        <f t="shared" si="23"/>
        <v>7.3855140104487432E-2</v>
      </c>
      <c r="D88" s="74">
        <f t="shared" si="23"/>
        <v>8.1991554761466301E-2</v>
      </c>
      <c r="E88" s="74">
        <f t="shared" si="23"/>
        <v>7.6821269738690523E-2</v>
      </c>
      <c r="F88" s="74">
        <f t="shared" si="23"/>
        <v>5.1889668226749543E-2</v>
      </c>
      <c r="G88" s="74">
        <f t="shared" si="23"/>
        <v>7.1636103363691694E-2</v>
      </c>
      <c r="H88" s="74">
        <f t="shared" si="23"/>
        <v>7.1269169461301088E-2</v>
      </c>
      <c r="I88" s="74">
        <f t="shared" si="23"/>
        <v>7.0749364704336043E-2</v>
      </c>
      <c r="J88" s="74">
        <f t="shared" si="23"/>
        <v>6.8466960570325724E-2</v>
      </c>
      <c r="K88" s="74">
        <f t="shared" si="23"/>
        <v>6.6820153455754816E-2</v>
      </c>
      <c r="L88" s="13"/>
    </row>
    <row r="89" spans="1:21" x14ac:dyDescent="0.3">
      <c r="A89" s="16" t="s">
        <v>24</v>
      </c>
      <c r="B89" s="74"/>
      <c r="C89" s="74"/>
      <c r="D89" s="74"/>
      <c r="E89" s="74"/>
      <c r="F89" s="74"/>
      <c r="G89" s="74"/>
      <c r="H89" s="74"/>
      <c r="I89" s="74"/>
      <c r="J89" s="74"/>
      <c r="K89" s="74"/>
      <c r="L89" s="13"/>
    </row>
    <row r="90" spans="1:21" x14ac:dyDescent="0.3">
      <c r="B90" s="74"/>
      <c r="C90" s="74"/>
      <c r="D90" s="74"/>
      <c r="E90" s="74"/>
      <c r="F90" s="74"/>
      <c r="G90" s="74"/>
      <c r="H90" s="74"/>
      <c r="I90" s="74"/>
      <c r="J90" s="74"/>
      <c r="K90" s="74"/>
      <c r="L90" s="13"/>
    </row>
    <row r="91" spans="1:21" x14ac:dyDescent="0.3">
      <c r="A91" t="s">
        <v>61</v>
      </c>
      <c r="B91" s="74">
        <f t="shared" ref="B91:K91" si="24">+B12/B50</f>
        <v>9.2555477820116555E-2</v>
      </c>
      <c r="C91" s="74">
        <f t="shared" si="24"/>
        <v>0.10473761399514722</v>
      </c>
      <c r="D91" s="74">
        <f t="shared" si="24"/>
        <v>0.101193572864349</v>
      </c>
      <c r="E91" s="74">
        <f t="shared" si="24"/>
        <v>7.8503340537237787E-2</v>
      </c>
      <c r="F91" s="74">
        <f t="shared" si="24"/>
        <v>4.2961109063504511E-2</v>
      </c>
      <c r="G91" s="74">
        <f t="shared" si="24"/>
        <v>7.5297405175271642E-2</v>
      </c>
      <c r="H91" s="74">
        <f t="shared" si="24"/>
        <v>7.8599503432242313E-2</v>
      </c>
      <c r="I91" s="74">
        <f t="shared" si="24"/>
        <v>8.1874578507487902E-2</v>
      </c>
      <c r="J91" s="74">
        <f t="shared" si="24"/>
        <v>8.4198403971335906E-2</v>
      </c>
      <c r="K91" s="74">
        <f t="shared" si="24"/>
        <v>8.7929960632490645E-2</v>
      </c>
      <c r="L91" s="13"/>
    </row>
    <row r="92" spans="1:21" x14ac:dyDescent="0.3">
      <c r="A92" s="16" t="s">
        <v>58</v>
      </c>
      <c r="B92" s="74"/>
      <c r="C92" s="74"/>
      <c r="D92" s="74"/>
      <c r="E92" s="74"/>
      <c r="F92" s="74"/>
      <c r="G92" s="74"/>
      <c r="H92" s="74"/>
      <c r="I92" s="74"/>
      <c r="J92" s="74"/>
      <c r="K92" s="74"/>
      <c r="L92" s="13"/>
    </row>
    <row r="93" spans="1:21" x14ac:dyDescent="0.3">
      <c r="B93" s="74"/>
      <c r="C93" s="74"/>
      <c r="D93" s="74"/>
      <c r="E93" s="74"/>
      <c r="F93" s="74"/>
      <c r="G93" s="74"/>
      <c r="H93" s="74"/>
      <c r="I93" s="74"/>
      <c r="J93" s="74"/>
      <c r="K93" s="74"/>
      <c r="L93" s="13"/>
      <c r="Q93" s="4"/>
      <c r="R93" s="4"/>
      <c r="S93" s="4"/>
      <c r="T93" s="4"/>
      <c r="U93" s="4"/>
    </row>
    <row r="94" spans="1:21" x14ac:dyDescent="0.3">
      <c r="A94" t="s">
        <v>25</v>
      </c>
      <c r="B94" s="74">
        <f t="shared" ref="B94:K94" si="25">+B18/B60</f>
        <v>0.13640342173797337</v>
      </c>
      <c r="C94" s="74">
        <f t="shared" si="25"/>
        <v>0.13347813020300167</v>
      </c>
      <c r="D94" s="74">
        <f t="shared" si="25"/>
        <v>0.1523316750212782</v>
      </c>
      <c r="E94" s="74">
        <f t="shared" si="25"/>
        <v>0.12044443934055324</v>
      </c>
      <c r="F94" s="74">
        <f t="shared" si="25"/>
        <v>8.9678372701297526E-2</v>
      </c>
      <c r="G94" s="74">
        <f t="shared" si="25"/>
        <v>0.10691026452631781</v>
      </c>
      <c r="H94" s="74">
        <f t="shared" si="25"/>
        <v>0.10824749757645309</v>
      </c>
      <c r="I94" s="74">
        <f t="shared" si="25"/>
        <v>0.11017875413076693</v>
      </c>
      <c r="J94" s="74">
        <f t="shared" si="25"/>
        <v>0.1128746177773359</v>
      </c>
      <c r="K94" s="74">
        <f t="shared" si="25"/>
        <v>0.11512318069904856</v>
      </c>
      <c r="L94" s="13"/>
      <c r="Q94" s="4"/>
      <c r="R94" s="4"/>
      <c r="S94" s="4"/>
      <c r="T94" s="4"/>
      <c r="U94" s="4"/>
    </row>
    <row r="95" spans="1:21" x14ac:dyDescent="0.3">
      <c r="A95" s="16" t="s">
        <v>50</v>
      </c>
      <c r="E95" s="74"/>
      <c r="F95" s="74"/>
      <c r="G95" s="74"/>
      <c r="H95" s="74"/>
      <c r="I95" s="74"/>
      <c r="J95" s="74"/>
      <c r="K95" s="74"/>
      <c r="L95" s="13"/>
      <c r="Q95" s="4"/>
      <c r="R95" s="4"/>
      <c r="S95" s="4"/>
      <c r="T95" s="4"/>
      <c r="U95" s="4"/>
    </row>
    <row r="96" spans="1:21" x14ac:dyDescent="0.3">
      <c r="E96" s="74"/>
      <c r="F96" s="74"/>
      <c r="G96" s="74"/>
      <c r="H96" s="74"/>
      <c r="I96" s="74"/>
      <c r="J96" s="74"/>
      <c r="K96" s="74"/>
      <c r="L96" s="13"/>
    </row>
    <row r="97" spans="1:12" x14ac:dyDescent="0.3">
      <c r="L97" s="13"/>
    </row>
    <row r="98" spans="1:12" x14ac:dyDescent="0.3">
      <c r="A98" s="9" t="s">
        <v>17</v>
      </c>
      <c r="B98" s="18"/>
      <c r="C98" s="18"/>
      <c r="D98" s="18"/>
      <c r="E98" s="19"/>
      <c r="F98" s="19"/>
      <c r="G98" s="19"/>
      <c r="H98" s="19"/>
      <c r="I98" s="19"/>
      <c r="J98" s="19"/>
      <c r="K98" s="19"/>
      <c r="L98" s="13"/>
    </row>
    <row r="99" spans="1:12" x14ac:dyDescent="0.3">
      <c r="A99" t="s">
        <v>19</v>
      </c>
      <c r="B99" s="4">
        <f t="shared" ref="B99:K99" si="26">+B49/B73</f>
        <v>1.7858526478640873</v>
      </c>
      <c r="C99" s="4">
        <f t="shared" si="26"/>
        <v>1.9448072990303518</v>
      </c>
      <c r="D99" s="4">
        <f t="shared" si="26"/>
        <v>1.7612658931349874</v>
      </c>
      <c r="E99" s="4">
        <f t="shared" si="26"/>
        <v>1.8172969414647495</v>
      </c>
      <c r="F99" s="4">
        <f t="shared" si="26"/>
        <v>1.5914730641257708</v>
      </c>
      <c r="G99" s="4">
        <f t="shared" si="26"/>
        <v>2.1242984760619192</v>
      </c>
      <c r="H99" s="4">
        <f t="shared" si="26"/>
        <v>2.2464155306575444</v>
      </c>
      <c r="I99" s="4">
        <f t="shared" si="26"/>
        <v>2.3055538585512911</v>
      </c>
      <c r="J99" s="4">
        <f t="shared" si="26"/>
        <v>2.3427306717156822</v>
      </c>
      <c r="K99" s="4">
        <f t="shared" si="26"/>
        <v>2.4814236105187852</v>
      </c>
      <c r="L99" s="13"/>
    </row>
    <row r="100" spans="1:12" x14ac:dyDescent="0.3">
      <c r="A100" t="s">
        <v>35</v>
      </c>
      <c r="E100" s="74"/>
      <c r="F100" s="74"/>
      <c r="G100" s="74"/>
      <c r="H100" s="74"/>
      <c r="I100" s="74"/>
      <c r="J100" s="74"/>
      <c r="K100" s="74"/>
      <c r="L100" s="13"/>
    </row>
    <row r="101" spans="1:12" x14ac:dyDescent="0.3">
      <c r="E101" s="74"/>
      <c r="F101" s="74"/>
      <c r="G101" s="74"/>
      <c r="H101" s="74"/>
      <c r="I101" s="74"/>
      <c r="J101" s="74"/>
      <c r="K101" s="74"/>
      <c r="L101" s="13"/>
    </row>
    <row r="102" spans="1:12" x14ac:dyDescent="0.3">
      <c r="A102" t="s">
        <v>20</v>
      </c>
      <c r="B102" s="4">
        <f t="shared" ref="B102:K102" si="27">+(B49-B43)/B73</f>
        <v>1.1292698192602864</v>
      </c>
      <c r="C102" s="4">
        <f t="shared" si="27"/>
        <v>1.2905306453528862</v>
      </c>
      <c r="D102" s="4">
        <f t="shared" si="27"/>
        <v>1.1228774643212027</v>
      </c>
      <c r="E102" s="4">
        <f t="shared" si="27"/>
        <v>1.1750003043555663</v>
      </c>
      <c r="F102" s="4">
        <f t="shared" si="27"/>
        <v>0.90462217142580703</v>
      </c>
      <c r="G102" s="4">
        <f t="shared" si="27"/>
        <v>1.3299268947743719</v>
      </c>
      <c r="H102" s="4">
        <f t="shared" si="27"/>
        <v>1.3901454952857617</v>
      </c>
      <c r="I102" s="4">
        <f t="shared" si="27"/>
        <v>1.3815525160370956</v>
      </c>
      <c r="J102" s="4">
        <f t="shared" si="27"/>
        <v>1.3450508087471611</v>
      </c>
      <c r="K102" s="4">
        <f t="shared" si="27"/>
        <v>1.3486059190628579</v>
      </c>
      <c r="L102" s="13"/>
    </row>
    <row r="103" spans="1:12" x14ac:dyDescent="0.3">
      <c r="A103" t="s">
        <v>36</v>
      </c>
      <c r="E103" s="74"/>
      <c r="F103" s="74"/>
      <c r="G103" s="74"/>
      <c r="H103" s="74"/>
      <c r="I103" s="74"/>
      <c r="J103" s="74"/>
      <c r="K103" s="74"/>
      <c r="L103" s="13"/>
    </row>
    <row r="104" spans="1:12" x14ac:dyDescent="0.3">
      <c r="E104" s="74"/>
      <c r="F104" s="74"/>
      <c r="G104" s="74"/>
      <c r="H104" s="74"/>
      <c r="I104" s="74"/>
      <c r="J104" s="74"/>
      <c r="K104" s="74"/>
      <c r="L104" s="13"/>
    </row>
    <row r="105" spans="1:12" x14ac:dyDescent="0.3">
      <c r="A105" t="s">
        <v>37</v>
      </c>
      <c r="B105" s="4">
        <f t="shared" ref="B105:K105" si="28">+B49-B73</f>
        <v>4896695</v>
      </c>
      <c r="C105" s="4">
        <f t="shared" si="28"/>
        <v>6490161</v>
      </c>
      <c r="D105" s="4">
        <f t="shared" si="28"/>
        <v>7040560</v>
      </c>
      <c r="E105" s="4">
        <f t="shared" si="28"/>
        <v>9264409</v>
      </c>
      <c r="F105" s="4">
        <f t="shared" si="28"/>
        <v>14084573</v>
      </c>
      <c r="G105" s="4">
        <f t="shared" si="28"/>
        <v>16294316.196140513</v>
      </c>
      <c r="H105" s="4">
        <f t="shared" si="28"/>
        <v>19290768.092817403</v>
      </c>
      <c r="I105" s="4">
        <f t="shared" si="28"/>
        <v>22548541.713441744</v>
      </c>
      <c r="J105" s="4">
        <f t="shared" si="28"/>
        <v>26130795.823877845</v>
      </c>
      <c r="K105" s="4">
        <f t="shared" si="28"/>
        <v>30099126.577728886</v>
      </c>
      <c r="L105" s="13"/>
    </row>
    <row r="106" spans="1:12" x14ac:dyDescent="0.3">
      <c r="A106" t="s">
        <v>38</v>
      </c>
      <c r="E106" s="74"/>
      <c r="F106" s="74"/>
      <c r="G106" s="74"/>
      <c r="H106" s="74"/>
      <c r="I106" s="74"/>
      <c r="J106" s="74"/>
      <c r="K106" s="74"/>
      <c r="L106" s="13"/>
    </row>
    <row r="107" spans="1:12" x14ac:dyDescent="0.3">
      <c r="L107" s="13"/>
    </row>
    <row r="108" spans="1:12" x14ac:dyDescent="0.3">
      <c r="L108" s="13"/>
    </row>
    <row r="109" spans="1:12" x14ac:dyDescent="0.3">
      <c r="A109" s="9" t="s">
        <v>60</v>
      </c>
      <c r="B109" s="18"/>
      <c r="C109" s="18"/>
      <c r="D109" s="18"/>
      <c r="E109" s="19"/>
      <c r="F109" s="19"/>
      <c r="G109" s="19"/>
      <c r="H109" s="19"/>
      <c r="I109" s="19"/>
      <c r="J109" s="19"/>
      <c r="K109" s="19"/>
      <c r="L109" s="13"/>
    </row>
    <row r="110" spans="1:12" x14ac:dyDescent="0.3">
      <c r="A110" t="s">
        <v>27</v>
      </c>
      <c r="B110" s="4">
        <f t="shared" ref="B110:K110" si="29">+B5/B50</f>
        <v>1.2597786161937867</v>
      </c>
      <c r="C110" s="4">
        <f t="shared" si="29"/>
        <v>1.4181492831368059</v>
      </c>
      <c r="D110" s="4">
        <f t="shared" si="29"/>
        <v>1.2341950723918593</v>
      </c>
      <c r="E110" s="4">
        <f t="shared" si="29"/>
        <v>1.0218958994594709</v>
      </c>
      <c r="F110" s="4">
        <f t="shared" si="29"/>
        <v>0.82793185101456701</v>
      </c>
      <c r="G110" s="4">
        <f t="shared" si="29"/>
        <v>1.0511097287493678</v>
      </c>
      <c r="H110" s="4">
        <f t="shared" si="29"/>
        <v>1.1028542078762624</v>
      </c>
      <c r="I110" s="4">
        <f t="shared" si="29"/>
        <v>1.1572482502089523</v>
      </c>
      <c r="J110" s="4">
        <f t="shared" si="29"/>
        <v>1.2297669309396559</v>
      </c>
      <c r="K110" s="4">
        <f t="shared" si="29"/>
        <v>1.3159197649959569</v>
      </c>
      <c r="L110" s="13"/>
    </row>
    <row r="111" spans="1:12" x14ac:dyDescent="0.3">
      <c r="A111" s="16" t="s">
        <v>51</v>
      </c>
      <c r="E111" s="74"/>
      <c r="F111" s="74"/>
      <c r="G111" s="74"/>
      <c r="H111" s="74"/>
      <c r="I111" s="74"/>
      <c r="J111" s="74"/>
      <c r="K111" s="74"/>
      <c r="L111" s="13"/>
    </row>
    <row r="112" spans="1:12" x14ac:dyDescent="0.3">
      <c r="E112" s="74"/>
      <c r="F112" s="74"/>
      <c r="G112" s="74"/>
      <c r="H112" s="74"/>
      <c r="I112" s="74"/>
      <c r="J112" s="74"/>
      <c r="K112" s="74"/>
      <c r="L112" s="13"/>
    </row>
    <row r="113" spans="1:12" x14ac:dyDescent="0.3">
      <c r="A113" t="s">
        <v>26</v>
      </c>
      <c r="B113" s="4">
        <f t="shared" ref="B113:K113" si="30">-B6/B43</f>
        <v>5.3129281896516112</v>
      </c>
      <c r="C113" s="4">
        <f t="shared" si="30"/>
        <v>6.2434160581343088</v>
      </c>
      <c r="D113" s="4">
        <f t="shared" si="30"/>
        <v>4.9199355230890109</v>
      </c>
      <c r="E113" s="4">
        <f t="shared" si="30"/>
        <v>3.8444524473313439</v>
      </c>
      <c r="F113" s="4">
        <f t="shared" si="30"/>
        <v>2.7519525975439749</v>
      </c>
      <c r="G113" s="4">
        <f t="shared" si="30"/>
        <v>4.2548231853182346</v>
      </c>
      <c r="H113" s="4">
        <f t="shared" si="30"/>
        <v>4.1771209367774507</v>
      </c>
      <c r="I113" s="4">
        <f t="shared" si="30"/>
        <v>3.9738806543963201</v>
      </c>
      <c r="J113" s="4">
        <f t="shared" si="30"/>
        <v>3.8085726889289147</v>
      </c>
      <c r="K113" s="4">
        <f t="shared" si="30"/>
        <v>3.6988163146688513</v>
      </c>
      <c r="L113" s="13"/>
    </row>
    <row r="114" spans="1:12" x14ac:dyDescent="0.3">
      <c r="A114" s="16" t="s">
        <v>52</v>
      </c>
      <c r="E114" s="74"/>
      <c r="F114" s="74"/>
      <c r="G114" s="74"/>
      <c r="H114" s="74"/>
      <c r="I114" s="74"/>
      <c r="J114" s="74"/>
      <c r="K114" s="74"/>
      <c r="L114" s="13"/>
    </row>
    <row r="115" spans="1:12" x14ac:dyDescent="0.3">
      <c r="E115" s="74"/>
      <c r="F115" s="74"/>
      <c r="G115" s="74"/>
      <c r="H115" s="74"/>
      <c r="I115" s="74"/>
      <c r="J115" s="74"/>
      <c r="K115" s="74"/>
      <c r="L115" s="13"/>
    </row>
    <row r="116" spans="1:12" x14ac:dyDescent="0.3">
      <c r="A116" t="s">
        <v>30</v>
      </c>
      <c r="B116" s="4">
        <f t="shared" ref="B116:K116" si="31">+B44/B5*365</f>
        <v>51.748739668724049</v>
      </c>
      <c r="C116" s="4">
        <f t="shared" si="31"/>
        <v>46.13466368295532</v>
      </c>
      <c r="D116" s="4">
        <f t="shared" si="31"/>
        <v>45.371462088382074</v>
      </c>
      <c r="E116" s="4">
        <f t="shared" si="31"/>
        <v>82.47300362643044</v>
      </c>
      <c r="F116" s="4">
        <f t="shared" si="31"/>
        <v>98.161723276236955</v>
      </c>
      <c r="G116" s="4">
        <f t="shared" si="31"/>
        <v>56.431967266622969</v>
      </c>
      <c r="H116" s="4">
        <f t="shared" si="31"/>
        <v>57.368612786202753</v>
      </c>
      <c r="I116" s="4">
        <f t="shared" si="31"/>
        <v>59.615402606852243</v>
      </c>
      <c r="J116" s="4">
        <f t="shared" si="31"/>
        <v>62.464190710546283</v>
      </c>
      <c r="K116" s="4">
        <f t="shared" si="31"/>
        <v>58.462428127369449</v>
      </c>
      <c r="L116" s="13"/>
    </row>
    <row r="117" spans="1:12" x14ac:dyDescent="0.3">
      <c r="A117" s="16" t="s">
        <v>53</v>
      </c>
      <c r="E117" s="74"/>
      <c r="F117" s="74"/>
      <c r="G117" s="74"/>
      <c r="H117" s="74"/>
      <c r="I117" s="74"/>
      <c r="J117" s="74"/>
      <c r="K117" s="74"/>
      <c r="L117" s="13"/>
    </row>
    <row r="118" spans="1:12" x14ac:dyDescent="0.3">
      <c r="E118" s="74"/>
      <c r="F118" s="74"/>
      <c r="G118" s="74"/>
      <c r="H118" s="74"/>
      <c r="I118" s="74"/>
      <c r="J118" s="74"/>
      <c r="K118" s="74"/>
      <c r="L118" s="13"/>
    </row>
    <row r="119" spans="1:12" x14ac:dyDescent="0.3">
      <c r="A119" t="s">
        <v>31</v>
      </c>
      <c r="B119" s="4">
        <f t="shared" ref="B119:K119" si="32">+B43/-B6*365</f>
        <v>68.70034507730368</v>
      </c>
      <c r="C119" s="4">
        <f t="shared" si="32"/>
        <v>58.461585228563358</v>
      </c>
      <c r="D119" s="4">
        <f t="shared" si="32"/>
        <v>74.18796410787769</v>
      </c>
      <c r="E119" s="4">
        <f t="shared" si="32"/>
        <v>94.941998893331998</v>
      </c>
      <c r="F119" s="4">
        <f t="shared" si="32"/>
        <v>132.63309852275444</v>
      </c>
      <c r="G119" s="4">
        <f t="shared" si="32"/>
        <v>85.784998365966231</v>
      </c>
      <c r="H119" s="4">
        <f t="shared" si="32"/>
        <v>87.380759505035741</v>
      </c>
      <c r="I119" s="4">
        <f t="shared" si="32"/>
        <v>91.849763931938668</v>
      </c>
      <c r="J119" s="4">
        <f t="shared" si="32"/>
        <v>95.836427399958339</v>
      </c>
      <c r="K119" s="4">
        <f t="shared" si="32"/>
        <v>98.68021792606315</v>
      </c>
      <c r="L119" s="13"/>
    </row>
    <row r="120" spans="1:12" x14ac:dyDescent="0.3">
      <c r="A120" s="16" t="s">
        <v>54</v>
      </c>
      <c r="E120" s="74"/>
      <c r="F120" s="74"/>
      <c r="G120" s="74"/>
      <c r="H120" s="74"/>
      <c r="I120" s="74"/>
      <c r="J120" s="74"/>
      <c r="K120" s="74"/>
      <c r="L120" s="13"/>
    </row>
    <row r="121" spans="1:12" x14ac:dyDescent="0.3">
      <c r="E121" s="74"/>
      <c r="F121" s="74"/>
      <c r="G121" s="74"/>
      <c r="H121" s="74"/>
      <c r="I121" s="74"/>
      <c r="J121" s="74"/>
      <c r="K121" s="74"/>
      <c r="L121" s="13"/>
    </row>
    <row r="122" spans="1:12" x14ac:dyDescent="0.3">
      <c r="A122" t="s">
        <v>32</v>
      </c>
      <c r="B122" s="4">
        <f>+B72/-B6*365</f>
        <v>75.345872977673423</v>
      </c>
      <c r="C122" s="23" t="s">
        <v>101</v>
      </c>
      <c r="D122" s="4">
        <f t="shared" ref="D122:K122" si="33">+D72/-D6*365</f>
        <v>70.902730466132297</v>
      </c>
      <c r="E122" s="4">
        <f t="shared" si="33"/>
        <v>105.45692712139707</v>
      </c>
      <c r="F122" s="4">
        <f t="shared" si="33"/>
        <v>142.91245788216182</v>
      </c>
      <c r="G122" s="4">
        <f t="shared" si="33"/>
        <v>78.218794886555898</v>
      </c>
      <c r="H122" s="4">
        <f t="shared" si="33"/>
        <v>78.793379268332401</v>
      </c>
      <c r="I122" s="4">
        <f t="shared" si="33"/>
        <v>82.318125325794711</v>
      </c>
      <c r="J122" s="4">
        <f t="shared" si="33"/>
        <v>84.601204297727207</v>
      </c>
      <c r="K122" s="4">
        <f t="shared" si="33"/>
        <v>80.430059732993229</v>
      </c>
      <c r="L122" s="13"/>
    </row>
    <row r="123" spans="1:12" x14ac:dyDescent="0.3">
      <c r="A123" s="16" t="s">
        <v>55</v>
      </c>
      <c r="L123" s="13"/>
    </row>
    <row r="124" spans="1:12" x14ac:dyDescent="0.3">
      <c r="A124" s="16"/>
      <c r="L124" s="13"/>
    </row>
    <row r="125" spans="1:12" x14ac:dyDescent="0.3">
      <c r="A125" t="s">
        <v>33</v>
      </c>
      <c r="B125" s="4">
        <f>+B116+B119</f>
        <v>120.44908474602772</v>
      </c>
      <c r="C125" s="4">
        <f>+C116+C119</f>
        <v>104.59624891151867</v>
      </c>
      <c r="D125" s="4">
        <f>+D116+D119</f>
        <v>119.55942619625976</v>
      </c>
      <c r="E125" s="4">
        <f>+E116+E119</f>
        <v>177.41500251976242</v>
      </c>
      <c r="F125" s="4">
        <f>+F116+F119</f>
        <v>230.79482179899139</v>
      </c>
      <c r="G125" s="4">
        <f t="shared" ref="G125:K125" si="34">+G116+G119</f>
        <v>142.21696563258919</v>
      </c>
      <c r="H125" s="4">
        <f t="shared" si="34"/>
        <v>144.7493722912385</v>
      </c>
      <c r="I125" s="4">
        <f t="shared" si="34"/>
        <v>151.46516653879092</v>
      </c>
      <c r="J125" s="4">
        <f t="shared" si="34"/>
        <v>158.30061811050462</v>
      </c>
      <c r="K125" s="4">
        <f t="shared" si="34"/>
        <v>157.1426460534326</v>
      </c>
      <c r="L125" s="13"/>
    </row>
    <row r="126" spans="1:12" x14ac:dyDescent="0.3">
      <c r="A126" s="16" t="s">
        <v>49</v>
      </c>
      <c r="L126" s="13"/>
    </row>
    <row r="127" spans="1:12" x14ac:dyDescent="0.3">
      <c r="A127" s="16"/>
      <c r="L127" s="13"/>
    </row>
    <row r="128" spans="1:12" x14ac:dyDescent="0.3">
      <c r="A128" t="s">
        <v>34</v>
      </c>
      <c r="B128" s="4">
        <f>+B125-B122</f>
        <v>45.103211768354299</v>
      </c>
      <c r="C128" s="23" t="s">
        <v>101</v>
      </c>
      <c r="D128" s="4">
        <f>+D125-D122</f>
        <v>48.656695730127467</v>
      </c>
      <c r="E128" s="4">
        <f>+E125-E122</f>
        <v>71.958075398365352</v>
      </c>
      <c r="F128" s="4">
        <f>+F125-F122</f>
        <v>87.882363916829576</v>
      </c>
      <c r="G128" s="4">
        <f t="shared" ref="G128:K128" si="35">+G125-G122</f>
        <v>63.998170746033296</v>
      </c>
      <c r="H128" s="4">
        <f t="shared" si="35"/>
        <v>65.9559930229061</v>
      </c>
      <c r="I128" s="4">
        <f t="shared" si="35"/>
        <v>69.147041212996214</v>
      </c>
      <c r="J128" s="4">
        <f t="shared" si="35"/>
        <v>73.699413812777408</v>
      </c>
      <c r="K128" s="4">
        <f t="shared" si="35"/>
        <v>76.712586320439371</v>
      </c>
      <c r="L128" s="13"/>
    </row>
    <row r="129" spans="1:12" x14ac:dyDescent="0.3">
      <c r="A129" s="17" t="s">
        <v>28</v>
      </c>
      <c r="L129" s="13"/>
    </row>
    <row r="130" spans="1:12" x14ac:dyDescent="0.3">
      <c r="A130" s="16" t="s">
        <v>29</v>
      </c>
      <c r="L130" s="13"/>
    </row>
    <row r="131" spans="1:12" x14ac:dyDescent="0.3">
      <c r="L131" s="13"/>
    </row>
    <row r="132" spans="1:12" x14ac:dyDescent="0.3">
      <c r="L132" s="13"/>
    </row>
    <row r="133" spans="1:12" x14ac:dyDescent="0.3">
      <c r="A133" s="9" t="s">
        <v>39</v>
      </c>
      <c r="B133" s="18"/>
      <c r="C133" s="18"/>
      <c r="D133" s="18"/>
      <c r="E133" s="19"/>
      <c r="F133" s="19"/>
      <c r="G133" s="19"/>
      <c r="H133" s="19"/>
      <c r="I133" s="19"/>
      <c r="J133" s="19"/>
      <c r="K133" s="19"/>
      <c r="L133" s="13"/>
    </row>
    <row r="134" spans="1:12" x14ac:dyDescent="0.3">
      <c r="A134" s="76" t="s">
        <v>40</v>
      </c>
      <c r="B134" s="272">
        <f>(B63+B69)/B60</f>
        <v>0.24238413074923715</v>
      </c>
      <c r="C134" s="272">
        <f t="shared" ref="C134" si="36">(C63+C69)/C60</f>
        <v>0.21312837718232089</v>
      </c>
      <c r="D134" s="272">
        <f>(D63+D70+D69+D64)/D60</f>
        <v>0.29104133821699429</v>
      </c>
      <c r="E134" s="272">
        <f t="shared" ref="E134:K134" si="37">(E63+E70+E69+E64)/E60</f>
        <v>0.22372100239222384</v>
      </c>
      <c r="F134" s="272">
        <f t="shared" si="37"/>
        <v>0.44172932284210631</v>
      </c>
      <c r="G134" s="272">
        <f t="shared" si="37"/>
        <v>0.29273257744444642</v>
      </c>
      <c r="H134" s="272">
        <f t="shared" si="37"/>
        <v>0.23383200884540603</v>
      </c>
      <c r="I134" s="272">
        <f t="shared" si="37"/>
        <v>0.1783442355594374</v>
      </c>
      <c r="J134" s="272">
        <f t="shared" si="37"/>
        <v>0.12802893339233679</v>
      </c>
      <c r="K134" s="272">
        <f t="shared" si="37"/>
        <v>8.1055978633290643E-2</v>
      </c>
      <c r="L134" s="13"/>
    </row>
    <row r="135" spans="1:12" x14ac:dyDescent="0.3">
      <c r="A135" s="16" t="s">
        <v>41</v>
      </c>
      <c r="E135" s="74"/>
      <c r="F135" s="74"/>
      <c r="G135" s="74"/>
      <c r="H135" s="74"/>
      <c r="I135" s="74"/>
      <c r="J135" s="74"/>
      <c r="K135" s="74"/>
      <c r="L135" s="13"/>
    </row>
    <row r="136" spans="1:12" x14ac:dyDescent="0.3">
      <c r="E136" s="74"/>
      <c r="F136" s="74"/>
      <c r="G136" s="74"/>
      <c r="H136" s="74"/>
      <c r="I136" s="74"/>
      <c r="J136" s="74"/>
      <c r="K136" s="74"/>
      <c r="L136" s="13"/>
    </row>
    <row r="137" spans="1:12" x14ac:dyDescent="0.3">
      <c r="A137" t="s">
        <v>42</v>
      </c>
      <c r="B137" s="4">
        <f>+B75/B60</f>
        <v>0.67201353818364984</v>
      </c>
      <c r="C137" s="4">
        <f>+C75/C60</f>
        <v>0.6075778145534857</v>
      </c>
      <c r="D137" s="4">
        <f>+D75/D60</f>
        <v>0.72299240260002096</v>
      </c>
      <c r="E137" s="4">
        <f>+E75/E60</f>
        <v>0.7506725314880065</v>
      </c>
      <c r="F137" s="4">
        <f>+F75/F60</f>
        <v>1.1219461834815432</v>
      </c>
      <c r="G137" s="4">
        <f t="shared" ref="G137:K137" si="38">+G75/G60</f>
        <v>0.66415974889518981</v>
      </c>
      <c r="H137" s="4">
        <f t="shared" si="38"/>
        <v>0.60905292944181977</v>
      </c>
      <c r="I137" s="4">
        <f t="shared" si="38"/>
        <v>0.57498973905243889</v>
      </c>
      <c r="J137" s="4">
        <f t="shared" si="38"/>
        <v>0.55028849244004285</v>
      </c>
      <c r="K137" s="4">
        <f t="shared" si="38"/>
        <v>0.49178544100706906</v>
      </c>
      <c r="L137" s="13"/>
    </row>
    <row r="138" spans="1:12" x14ac:dyDescent="0.3">
      <c r="A138" s="16" t="s">
        <v>43</v>
      </c>
      <c r="E138" s="74"/>
      <c r="F138" s="74"/>
      <c r="G138" s="74"/>
      <c r="H138" s="74"/>
      <c r="I138" s="74"/>
      <c r="J138" s="74"/>
      <c r="K138" s="74"/>
      <c r="L138" s="13"/>
    </row>
    <row r="139" spans="1:12" x14ac:dyDescent="0.3">
      <c r="E139" s="74"/>
      <c r="F139" s="74"/>
      <c r="G139" s="74"/>
      <c r="H139" s="74"/>
      <c r="I139" s="74"/>
      <c r="J139" s="74"/>
      <c r="K139" s="74"/>
      <c r="L139" s="13"/>
    </row>
    <row r="140" spans="1:12" x14ac:dyDescent="0.3">
      <c r="A140" t="s">
        <v>44</v>
      </c>
      <c r="B140" s="4">
        <f t="shared" ref="B140:K140" si="39">+B12/(-B14)</f>
        <v>18.213511964032467</v>
      </c>
      <c r="C140" s="4">
        <f t="shared" si="39"/>
        <v>12.373732096302628</v>
      </c>
      <c r="D140" s="4">
        <f t="shared" si="39"/>
        <v>17.021629276570259</v>
      </c>
      <c r="E140" s="4">
        <f t="shared" si="39"/>
        <v>20.541703477463379</v>
      </c>
      <c r="F140" s="4">
        <f t="shared" si="39"/>
        <v>17.243571615255224</v>
      </c>
      <c r="G140" s="4">
        <f t="shared" si="39"/>
        <v>12.536357892576467</v>
      </c>
      <c r="H140" s="4">
        <f t="shared" si="39"/>
        <v>15.468787951775795</v>
      </c>
      <c r="I140" s="4">
        <f t="shared" si="39"/>
        <v>19.895567279588008</v>
      </c>
      <c r="J140" s="4">
        <f t="shared" si="39"/>
        <v>26.534258119375483</v>
      </c>
      <c r="K140" s="4">
        <f t="shared" si="39"/>
        <v>37.684941197369817</v>
      </c>
      <c r="L140" s="65">
        <f>+AVERAGE(B140:F140)</f>
        <v>17.078829685924791</v>
      </c>
    </row>
    <row r="141" spans="1:12" x14ac:dyDescent="0.3">
      <c r="A141" s="75" t="s">
        <v>104</v>
      </c>
      <c r="E141" s="74"/>
      <c r="F141" s="74"/>
      <c r="G141" s="74"/>
      <c r="H141" s="74"/>
      <c r="I141" s="74"/>
      <c r="J141" s="74"/>
      <c r="K141" s="74"/>
      <c r="L141" s="13"/>
    </row>
    <row r="142" spans="1:12" x14ac:dyDescent="0.3">
      <c r="E142" s="74"/>
      <c r="F142" s="74"/>
      <c r="G142" s="74"/>
      <c r="H142" s="74"/>
      <c r="I142" s="74"/>
      <c r="J142" s="74"/>
      <c r="K142" s="74"/>
      <c r="L142" s="13"/>
    </row>
    <row r="143" spans="1:12" x14ac:dyDescent="0.3">
      <c r="L143" s="13"/>
    </row>
    <row r="144" spans="1:12" x14ac:dyDescent="0.3">
      <c r="A144" s="9" t="s">
        <v>18</v>
      </c>
      <c r="B144" s="18"/>
      <c r="C144" s="18"/>
      <c r="D144" s="18"/>
      <c r="E144" s="19"/>
      <c r="F144" s="19"/>
      <c r="G144" s="19"/>
      <c r="H144" s="19"/>
      <c r="I144" s="19"/>
      <c r="J144" s="19"/>
      <c r="K144" s="19"/>
      <c r="L144" s="13"/>
    </row>
    <row r="145" spans="1:12" x14ac:dyDescent="0.3">
      <c r="A145" t="s">
        <v>45</v>
      </c>
      <c r="B145" s="5">
        <f t="shared" ref="B145:K145" si="40">+B19/B161</f>
        <v>2.2756311003515854</v>
      </c>
      <c r="C145" s="5">
        <f t="shared" si="40"/>
        <v>2.6470964379097999</v>
      </c>
      <c r="D145" s="5">
        <f t="shared" si="40"/>
        <v>3.3959117153899738</v>
      </c>
      <c r="E145" s="5">
        <f t="shared" si="40"/>
        <v>3.0399285057677035</v>
      </c>
      <c r="F145" s="5">
        <f t="shared" si="40"/>
        <v>3.536930091397767</v>
      </c>
      <c r="G145" s="5">
        <f t="shared" si="40"/>
        <v>4.7247181920017889</v>
      </c>
      <c r="H145" s="5">
        <f t="shared" si="40"/>
        <v>5.3247202790459243</v>
      </c>
      <c r="I145" s="5">
        <f t="shared" si="40"/>
        <v>6.0419618751776483</v>
      </c>
      <c r="J145" s="5">
        <f t="shared" si="40"/>
        <v>6.8788299653306222</v>
      </c>
      <c r="K145" s="5">
        <f t="shared" si="40"/>
        <v>7.8293328203001256</v>
      </c>
      <c r="L145" s="66">
        <f>+AVERAGE(B145:F145)</f>
        <v>2.979099570163366</v>
      </c>
    </row>
    <row r="146" spans="1:12" ht="28.8" x14ac:dyDescent="0.3">
      <c r="A146" s="17" t="s">
        <v>108</v>
      </c>
      <c r="E146" s="74"/>
      <c r="F146" s="74"/>
      <c r="G146" s="74"/>
      <c r="H146" s="74"/>
      <c r="I146" s="74"/>
      <c r="J146" s="74"/>
      <c r="K146" s="74"/>
      <c r="L146" s="13"/>
    </row>
    <row r="147" spans="1:12" x14ac:dyDescent="0.3">
      <c r="E147" s="74"/>
      <c r="F147" s="74"/>
      <c r="G147" s="74"/>
      <c r="H147" s="74"/>
      <c r="I147" s="74"/>
      <c r="J147" s="74"/>
      <c r="K147" s="74"/>
      <c r="L147" s="13"/>
    </row>
    <row r="148" spans="1:12" x14ac:dyDescent="0.3">
      <c r="E148" s="74"/>
      <c r="F148" s="74"/>
      <c r="G148" s="74"/>
      <c r="H148" s="74"/>
      <c r="I148" s="74"/>
      <c r="J148" s="74"/>
      <c r="K148" s="74"/>
      <c r="L148" s="13"/>
    </row>
    <row r="149" spans="1:12" x14ac:dyDescent="0.3">
      <c r="A149" t="s">
        <v>46</v>
      </c>
      <c r="B149" s="5">
        <f>+B25/B21</f>
        <v>13.991228070175438</v>
      </c>
      <c r="C149" s="5">
        <f>+C25/C21</f>
        <v>11.471698113207546</v>
      </c>
      <c r="D149" s="5">
        <f>+D25/D21</f>
        <v>6.8529411764705888</v>
      </c>
      <c r="E149" s="5">
        <f>+E25/E21</f>
        <v>13.157894736842104</v>
      </c>
      <c r="F149" s="5">
        <f>+F25/F21</f>
        <v>11.242937853107344</v>
      </c>
      <c r="G149" s="5"/>
      <c r="H149" s="5"/>
      <c r="I149" s="5"/>
      <c r="J149" s="5"/>
      <c r="K149" s="5"/>
      <c r="L149" s="13"/>
    </row>
    <row r="150" spans="1:12" ht="28.8" x14ac:dyDescent="0.3">
      <c r="A150" s="17" t="s">
        <v>111</v>
      </c>
      <c r="L150" s="13"/>
    </row>
    <row r="151" spans="1:12" x14ac:dyDescent="0.3">
      <c r="L151" s="13"/>
    </row>
    <row r="152" spans="1:12" x14ac:dyDescent="0.3">
      <c r="A152" t="s">
        <v>47</v>
      </c>
      <c r="B152" s="27">
        <f>+(B158/B25)</f>
        <v>6.1128526645768025E-2</v>
      </c>
      <c r="C152" s="27">
        <f>+(C158/C25)</f>
        <v>5.7565789473684216E-2</v>
      </c>
      <c r="D152" s="27">
        <f>+(D158/D25)</f>
        <v>0.10300429184549356</v>
      </c>
      <c r="E152" s="27">
        <f>+(E158/E25)</f>
        <v>6.9999999999999993E-2</v>
      </c>
      <c r="F152" s="27">
        <f>+(F158/F25)</f>
        <v>5.9045226130653272E-2</v>
      </c>
      <c r="G152" s="24"/>
      <c r="H152" s="24"/>
      <c r="I152" s="24"/>
      <c r="J152" s="24"/>
      <c r="K152" s="24"/>
      <c r="L152" s="13"/>
    </row>
    <row r="153" spans="1:12" x14ac:dyDescent="0.3">
      <c r="A153" s="17" t="s">
        <v>110</v>
      </c>
      <c r="L153" s="13"/>
    </row>
    <row r="154" spans="1:12" x14ac:dyDescent="0.3">
      <c r="L154" s="13"/>
    </row>
    <row r="155" spans="1:12" x14ac:dyDescent="0.3">
      <c r="A155" t="s">
        <v>48</v>
      </c>
      <c r="B155" s="5">
        <f>+B158/B145</f>
        <v>0.85690514587303912</v>
      </c>
      <c r="C155" s="5">
        <f>+C158/C145</f>
        <v>0.66110171693700548</v>
      </c>
      <c r="D155" s="5">
        <f>+D158/D145</f>
        <v>0.70673215358438513</v>
      </c>
      <c r="E155" s="5">
        <f>+E158/E145</f>
        <v>0.92107429325640933</v>
      </c>
      <c r="F155" s="5">
        <f>+F158/F145</f>
        <v>0.66441799506172838</v>
      </c>
      <c r="G155" s="67">
        <f>+AVERAGE(B155:F155)</f>
        <v>0.76204626094251338</v>
      </c>
      <c r="H155" s="67">
        <f t="shared" ref="H155:K155" si="41">+AVERAGE(C155:G155)</f>
        <v>0.74307448395640829</v>
      </c>
      <c r="I155" s="67">
        <f t="shared" si="41"/>
        <v>0.75946903736028892</v>
      </c>
      <c r="J155" s="67">
        <f t="shared" si="41"/>
        <v>0.77001641411546973</v>
      </c>
      <c r="K155" s="67">
        <f t="shared" si="41"/>
        <v>0.73980483828728172</v>
      </c>
      <c r="L155" s="13"/>
    </row>
    <row r="156" spans="1:12" x14ac:dyDescent="0.3">
      <c r="A156" s="17" t="s">
        <v>62</v>
      </c>
      <c r="L156" s="13"/>
    </row>
    <row r="157" spans="1:12" x14ac:dyDescent="0.3">
      <c r="L157" s="13"/>
    </row>
    <row r="158" spans="1:12" x14ac:dyDescent="0.3">
      <c r="A158" t="s">
        <v>56</v>
      </c>
      <c r="B158">
        <f>+B23</f>
        <v>1.95</v>
      </c>
      <c r="C158">
        <f>+C23</f>
        <v>1.75</v>
      </c>
      <c r="D158">
        <f>+D23</f>
        <v>2.4</v>
      </c>
      <c r="E158">
        <f>+E23</f>
        <v>2.8</v>
      </c>
      <c r="F158">
        <f>+F23</f>
        <v>2.35</v>
      </c>
      <c r="G158" s="2">
        <f t="shared" ref="G158:K158" si="42">+G23</f>
        <v>3.6004538322220352</v>
      </c>
      <c r="H158" s="2">
        <f t="shared" si="42"/>
        <v>3.956663773564272</v>
      </c>
      <c r="I158" s="2">
        <f t="shared" si="42"/>
        <v>4.5886829691087341</v>
      </c>
      <c r="J158" s="2">
        <f t="shared" si="42"/>
        <v>5.2968119832139262</v>
      </c>
      <c r="K158" s="2">
        <f t="shared" si="42"/>
        <v>5.7921783010194421</v>
      </c>
      <c r="L158" s="13"/>
    </row>
    <row r="159" spans="1:12" x14ac:dyDescent="0.3">
      <c r="A159" s="16" t="s">
        <v>57</v>
      </c>
      <c r="L159" s="13"/>
    </row>
    <row r="160" spans="1:12" x14ac:dyDescent="0.3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3"/>
    </row>
    <row r="161" spans="1:12" x14ac:dyDescent="0.3">
      <c r="A161" t="s">
        <v>106</v>
      </c>
      <c r="B161" s="3">
        <v>701394</v>
      </c>
      <c r="C161" s="3">
        <v>702172</v>
      </c>
      <c r="D161" s="3">
        <v>701957</v>
      </c>
      <c r="E161" s="2">
        <v>703833</v>
      </c>
      <c r="F161" s="2">
        <v>715663</v>
      </c>
      <c r="G161" s="131">
        <v>715663</v>
      </c>
      <c r="H161" s="131">
        <v>715663</v>
      </c>
      <c r="I161" s="131">
        <v>715663</v>
      </c>
      <c r="J161" s="131">
        <v>715663</v>
      </c>
      <c r="K161" s="131">
        <v>715663</v>
      </c>
      <c r="L161" s="13"/>
    </row>
    <row r="162" spans="1:12" x14ac:dyDescent="0.3">
      <c r="L162" s="13"/>
    </row>
    <row r="163" spans="1:12" x14ac:dyDescent="0.3">
      <c r="L163" s="13"/>
    </row>
    <row r="164" spans="1:12" x14ac:dyDescent="0.3">
      <c r="A164" t="s">
        <v>107</v>
      </c>
      <c r="B164" s="5">
        <f>+B21</f>
        <v>2.2799999999999998</v>
      </c>
      <c r="C164" s="5">
        <f>+C21</f>
        <v>2.65</v>
      </c>
      <c r="D164" s="5">
        <f>+D21</f>
        <v>3.4</v>
      </c>
      <c r="E164" s="5">
        <f>+E21</f>
        <v>3.04</v>
      </c>
      <c r="F164" s="5">
        <f>+F21</f>
        <v>3.54</v>
      </c>
      <c r="G164" s="5"/>
      <c r="H164" s="5"/>
      <c r="I164" s="5"/>
      <c r="J164" s="5"/>
      <c r="K164" s="5"/>
      <c r="L164" s="13"/>
    </row>
    <row r="165" spans="1:12" x14ac:dyDescent="0.3">
      <c r="L165" s="13"/>
    </row>
    <row r="166" spans="1:12" x14ac:dyDescent="0.3">
      <c r="L166" s="13"/>
    </row>
    <row r="167" spans="1:12" x14ac:dyDescent="0.3">
      <c r="B167" s="26">
        <f>+B145-B21</f>
        <v>-4.3688996484143594E-3</v>
      </c>
      <c r="C167" s="26">
        <f>+C145-C21</f>
        <v>-2.9035620902000403E-3</v>
      </c>
      <c r="D167" s="26">
        <f>+D145-D21</f>
        <v>-4.0882846100260828E-3</v>
      </c>
      <c r="E167" s="26">
        <f>+E145-E21</f>
        <v>-7.1494232296576143E-5</v>
      </c>
      <c r="F167" s="26">
        <f>+F145-F21</f>
        <v>-3.0699086022329958E-3</v>
      </c>
      <c r="G167" s="26"/>
      <c r="H167" s="26"/>
      <c r="I167" s="26"/>
      <c r="J167" s="26"/>
      <c r="K167" s="26"/>
      <c r="L167" s="13"/>
    </row>
    <row r="168" spans="1:12" x14ac:dyDescent="0.3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</row>
    <row r="170" spans="1:12" x14ac:dyDescent="0.3">
      <c r="A170" s="386"/>
      <c r="B170" s="386"/>
      <c r="C170" s="386"/>
      <c r="D170" s="386"/>
      <c r="E170" s="386"/>
      <c r="F170" s="386"/>
    </row>
    <row r="171" spans="1:12" x14ac:dyDescent="0.3">
      <c r="A171" s="386"/>
      <c r="B171" s="386"/>
      <c r="C171" s="386"/>
      <c r="D171" s="386"/>
      <c r="E171" s="386"/>
      <c r="F171" s="386"/>
    </row>
    <row r="172" spans="1:12" x14ac:dyDescent="0.3">
      <c r="A172" s="386"/>
      <c r="B172" s="386"/>
      <c r="C172" s="386"/>
      <c r="D172" s="386"/>
      <c r="E172" s="386"/>
      <c r="F172" s="386"/>
    </row>
    <row r="173" spans="1:12" x14ac:dyDescent="0.3">
      <c r="A173" s="386"/>
      <c r="B173" s="386"/>
      <c r="C173" s="386"/>
      <c r="D173" s="386"/>
      <c r="E173" s="386"/>
      <c r="F173" s="386"/>
    </row>
    <row r="174" spans="1:12" x14ac:dyDescent="0.3">
      <c r="A174" s="386"/>
      <c r="B174" s="386"/>
      <c r="C174" s="386"/>
      <c r="D174" s="386"/>
      <c r="E174" s="386"/>
      <c r="F174" s="386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42"/>
  <sheetViews>
    <sheetView topLeftCell="A90" zoomScale="85" zoomScaleNormal="85" workbookViewId="0">
      <selection activeCell="O106" sqref="O106"/>
    </sheetView>
  </sheetViews>
  <sheetFormatPr defaultRowHeight="14.4" x14ac:dyDescent="0.3"/>
  <cols>
    <col min="1" max="1" width="45.109375" customWidth="1"/>
    <col min="2" max="6" width="13" style="45" bestFit="1" customWidth="1"/>
    <col min="7" max="11" width="13" style="45" customWidth="1"/>
    <col min="17" max="17" width="9.6640625" bestFit="1" customWidth="1"/>
  </cols>
  <sheetData>
    <row r="1" spans="1:17" x14ac:dyDescent="0.3">
      <c r="A1" s="13"/>
      <c r="B1" s="41"/>
      <c r="C1" s="41"/>
      <c r="D1" s="41"/>
      <c r="E1" s="41"/>
      <c r="F1" s="41"/>
      <c r="G1" s="41"/>
      <c r="H1" s="41"/>
      <c r="I1" s="41"/>
      <c r="J1" s="41"/>
      <c r="K1" s="41"/>
      <c r="L1" s="13"/>
    </row>
    <row r="2" spans="1:17" ht="15.6" x14ac:dyDescent="0.3">
      <c r="A2" s="10" t="s">
        <v>74</v>
      </c>
      <c r="B2" s="42"/>
      <c r="C2" s="42"/>
      <c r="D2" s="42"/>
      <c r="E2" s="42"/>
      <c r="F2" s="42"/>
      <c r="G2" s="42"/>
      <c r="H2" s="42"/>
      <c r="I2" s="42"/>
      <c r="J2" s="42"/>
      <c r="K2" s="42"/>
      <c r="L2" s="13"/>
    </row>
    <row r="3" spans="1:17" ht="15.6" x14ac:dyDescent="0.3">
      <c r="A3" s="10" t="s">
        <v>63</v>
      </c>
      <c r="B3" s="43"/>
      <c r="C3" s="43"/>
      <c r="D3" s="43"/>
      <c r="E3" s="44"/>
      <c r="F3" s="44"/>
      <c r="G3" s="44"/>
      <c r="H3" s="44"/>
      <c r="I3" s="44"/>
      <c r="J3" s="44"/>
      <c r="K3" s="44"/>
      <c r="L3" s="13"/>
      <c r="O3" s="67"/>
    </row>
    <row r="4" spans="1:17" ht="15.6" x14ac:dyDescent="0.3">
      <c r="A4" s="10" t="s">
        <v>112</v>
      </c>
      <c r="B4" s="42"/>
      <c r="C4" s="42"/>
      <c r="D4" s="42"/>
      <c r="E4" s="42"/>
      <c r="F4" s="42"/>
      <c r="G4" s="42"/>
      <c r="H4" s="42"/>
      <c r="I4" s="42"/>
      <c r="J4" s="42"/>
      <c r="K4" s="42"/>
      <c r="L4" s="13"/>
    </row>
    <row r="5" spans="1:17" x14ac:dyDescent="0.3">
      <c r="E5" s="46"/>
      <c r="F5" s="46"/>
      <c r="G5" s="46"/>
      <c r="H5" s="46"/>
      <c r="I5" s="46"/>
      <c r="J5" s="46"/>
      <c r="K5" s="46"/>
      <c r="L5" s="13"/>
    </row>
    <row r="6" spans="1:17" x14ac:dyDescent="0.3">
      <c r="A6" s="9" t="s">
        <v>63</v>
      </c>
      <c r="B6" s="61">
        <v>2018</v>
      </c>
      <c r="C6" s="61">
        <v>2019</v>
      </c>
      <c r="D6" s="61">
        <v>2020</v>
      </c>
      <c r="E6" s="61">
        <v>2021</v>
      </c>
      <c r="F6" s="61">
        <v>2022</v>
      </c>
      <c r="G6" s="61">
        <v>2023</v>
      </c>
      <c r="H6" s="61">
        <v>2024</v>
      </c>
      <c r="I6" s="61">
        <v>2025</v>
      </c>
      <c r="J6" s="61">
        <v>2026</v>
      </c>
      <c r="K6" s="61">
        <v>2027</v>
      </c>
      <c r="L6" s="13"/>
    </row>
    <row r="7" spans="1:17" x14ac:dyDescent="0.3">
      <c r="E7" s="46"/>
      <c r="F7" s="46"/>
      <c r="G7" s="46"/>
      <c r="H7" s="46"/>
      <c r="I7" s="46"/>
      <c r="J7" s="46"/>
      <c r="K7" s="46"/>
      <c r="L7" s="13"/>
    </row>
    <row r="8" spans="1:17" x14ac:dyDescent="0.3">
      <c r="A8" t="s">
        <v>64</v>
      </c>
      <c r="B8" s="67">
        <f>+'P&amp;L-SOFP-Ratios'!B5/'P&amp;L-SOFP-Ratios'!$B$5</f>
        <v>1</v>
      </c>
      <c r="C8" s="67">
        <f>+'P&amp;L-SOFP-Ratios'!C5/'P&amp;L-SOFP-Ratios'!$C$5</f>
        <v>1</v>
      </c>
      <c r="D8" s="67">
        <f>+'P&amp;L-SOFP-Ratios'!D5/'P&amp;L-SOFP-Ratios'!$D$5</f>
        <v>1</v>
      </c>
      <c r="E8" s="67">
        <f>+'P&amp;L-SOFP-Ratios'!E5/'P&amp;L-SOFP-Ratios'!$E$5</f>
        <v>1</v>
      </c>
      <c r="F8" s="67">
        <f>+'P&amp;L-SOFP-Ratios'!F5/'P&amp;L-SOFP-Ratios'!$F$5</f>
        <v>1</v>
      </c>
      <c r="G8" s="67">
        <f>+'P&amp;L-SOFP-Ratios'!G5/'P&amp;L-SOFP-Ratios'!$G$5</f>
        <v>1</v>
      </c>
      <c r="H8" s="67">
        <f>+'P&amp;L-SOFP-Ratios'!H5/'P&amp;L-SOFP-Ratios'!$H$5</f>
        <v>1</v>
      </c>
      <c r="I8" s="67">
        <f>+'P&amp;L-SOFP-Ratios'!I5/'P&amp;L-SOFP-Ratios'!$I$5</f>
        <v>1</v>
      </c>
      <c r="J8" s="67">
        <f>+'P&amp;L-SOFP-Ratios'!J5/'P&amp;L-SOFP-Ratios'!$J$5</f>
        <v>1</v>
      </c>
      <c r="K8" s="67">
        <f>+'P&amp;L-SOFP-Ratios'!K5/'P&amp;L-SOFP-Ratios'!$K$5</f>
        <v>1</v>
      </c>
      <c r="L8" s="13"/>
    </row>
    <row r="9" spans="1:17" x14ac:dyDescent="0.3">
      <c r="A9" t="s">
        <v>65</v>
      </c>
      <c r="B9" s="67">
        <f>+'P&amp;L-SOFP-Ratios'!B6/'P&amp;L-SOFP-Ratios'!$B$5</f>
        <v>-0.88188658414196208</v>
      </c>
      <c r="C9" s="67">
        <f>+'P&amp;L-SOFP-Ratios'!C6/'P&amp;L-SOFP-Ratios'!$C$5</f>
        <v>-0.88389122208771265</v>
      </c>
      <c r="D9" s="67">
        <f>+'P&amp;L-SOFP-Ratios'!D6/'P&amp;L-SOFP-Ratios'!$D$5</f>
        <v>-0.87291387294326261</v>
      </c>
      <c r="E9" s="67">
        <f>+'P&amp;L-SOFP-Ratios'!E6/'P&amp;L-SOFP-Ratios'!$E$5</f>
        <v>-0.88074497250449624</v>
      </c>
      <c r="F9" s="67">
        <f>+'P&amp;L-SOFP-Ratios'!F6/'P&amp;L-SOFP-Ratios'!$F$5</f>
        <v>-0.90768644988126557</v>
      </c>
      <c r="G9" s="67">
        <f>+'P&amp;L-SOFP-Ratios'!G6/'P&amp;L-SOFP-Ratios'!$G$5</f>
        <v>-0.88542462031173996</v>
      </c>
      <c r="H9" s="67">
        <f>+'P&amp;L-SOFP-Ratios'!H6/'P&amp;L-SOFP-Ratios'!$H$5</f>
        <v>-0.88613222754569543</v>
      </c>
      <c r="I9" s="67">
        <f>+'P&amp;L-SOFP-Ratios'!I6/'P&amp;L-SOFP-Ratios'!$I$5</f>
        <v>-0.88658042863729192</v>
      </c>
      <c r="J9" s="67">
        <f>+'P&amp;L-SOFP-Ratios'!J6/'P&amp;L-SOFP-Ratios'!$J$5</f>
        <v>-0.88931373977609796</v>
      </c>
      <c r="K9" s="67">
        <f>+'P&amp;L-SOFP-Ratios'!K6/'P&amp;L-SOFP-Ratios'!$K$5</f>
        <v>-0.8910274932304183</v>
      </c>
      <c r="L9" s="13"/>
      <c r="M9" s="45">
        <f>+B8+B9</f>
        <v>0.11811341585803792</v>
      </c>
      <c r="N9" s="45">
        <f>+C8+C9</f>
        <v>0.11610877791228735</v>
      </c>
      <c r="O9" s="45">
        <f>+D8+D9</f>
        <v>0.12708612705673739</v>
      </c>
      <c r="P9" s="45">
        <f>+E8+E9</f>
        <v>0.11925502749550376</v>
      </c>
      <c r="Q9" s="45">
        <f>+F8+F9</f>
        <v>9.2313550118734433E-2</v>
      </c>
    </row>
    <row r="10" spans="1:17" x14ac:dyDescent="0.3">
      <c r="A10" s="369" t="s">
        <v>66</v>
      </c>
      <c r="B10" s="370">
        <f>+'P&amp;L-SOFP-Ratios'!B7/'P&amp;L-SOFP-Ratios'!$B$5</f>
        <v>0.11811341585803795</v>
      </c>
      <c r="C10" s="370">
        <f>+'P&amp;L-SOFP-Ratios'!C7/'P&amp;L-SOFP-Ratios'!$C$5</f>
        <v>0.11610877791228741</v>
      </c>
      <c r="D10" s="370">
        <f>+'P&amp;L-SOFP-Ratios'!D7/'P&amp;L-SOFP-Ratios'!$D$5</f>
        <v>0.12708612705673736</v>
      </c>
      <c r="E10" s="370">
        <f>+'P&amp;L-SOFP-Ratios'!E7/'P&amp;L-SOFP-Ratios'!$E$5</f>
        <v>0.11925502749550373</v>
      </c>
      <c r="F10" s="370">
        <f>+'P&amp;L-SOFP-Ratios'!F7/'P&amp;L-SOFP-Ratios'!$F$5</f>
        <v>9.2313550118734461E-2</v>
      </c>
      <c r="G10" s="370">
        <f>+'P&amp;L-SOFP-Ratios'!G7/'P&amp;L-SOFP-Ratios'!$G$5</f>
        <v>0.11457537968826008</v>
      </c>
      <c r="H10" s="370">
        <f>+'P&amp;L-SOFP-Ratios'!H7/'P&amp;L-SOFP-Ratios'!$H$5</f>
        <v>0.11386777245430457</v>
      </c>
      <c r="I10" s="370">
        <f>+'P&amp;L-SOFP-Ratios'!I7/'P&amp;L-SOFP-Ratios'!$I$5</f>
        <v>0.11341957136270808</v>
      </c>
      <c r="J10" s="370">
        <f>+'P&amp;L-SOFP-Ratios'!J7/'P&amp;L-SOFP-Ratios'!$J$5</f>
        <v>0.1106862602239021</v>
      </c>
      <c r="K10" s="370">
        <f>+'P&amp;L-SOFP-Ratios'!K7/'P&amp;L-SOFP-Ratios'!$K$5</f>
        <v>0.10897250676958174</v>
      </c>
      <c r="L10" s="13"/>
      <c r="M10" s="45">
        <f>+B10-M9</f>
        <v>0</v>
      </c>
      <c r="N10" s="45">
        <f>+C10-N9</f>
        <v>0</v>
      </c>
      <c r="O10" s="45">
        <f>+D10-O9</f>
        <v>0</v>
      </c>
      <c r="P10" s="45">
        <f>+E10-P9</f>
        <v>0</v>
      </c>
      <c r="Q10" s="45">
        <f>+F10-Q9</f>
        <v>0</v>
      </c>
    </row>
    <row r="11" spans="1:17" x14ac:dyDescent="0.3">
      <c r="A11" t="s">
        <v>67</v>
      </c>
      <c r="B11" s="67">
        <f>+'P&amp;L-SOFP-Ratios'!B8/'P&amp;L-SOFP-Ratios'!$B$5</f>
        <v>9.6373715650049201E-3</v>
      </c>
      <c r="C11" s="67">
        <f>+'P&amp;L-SOFP-Ratios'!C8/'P&amp;L-SOFP-Ratios'!$C$5</f>
        <v>7.7511627074805384E-3</v>
      </c>
      <c r="D11" s="67">
        <f>+'P&amp;L-SOFP-Ratios'!D8/'P&amp;L-SOFP-Ratios'!$D$5</f>
        <v>5.187280238444743E-3</v>
      </c>
      <c r="E11" s="67">
        <f>+'P&amp;L-SOFP-Ratios'!E8/'P&amp;L-SOFP-Ratios'!$E$5</f>
        <v>5.8420491923184964E-3</v>
      </c>
      <c r="F11" s="67">
        <f>+'P&amp;L-SOFP-Ratios'!F8/'P&amp;L-SOFP-Ratios'!$F$5</f>
        <v>3.0548138657195121E-3</v>
      </c>
      <c r="G11" s="67">
        <f>+'P&amp;L-SOFP-Ratios'!G8/'P&amp;L-SOFP-Ratios'!$G$5</f>
        <v>6.2945355137936417E-3</v>
      </c>
      <c r="H11" s="67">
        <f>+'P&amp;L-SOFP-Ratios'!H8/'P&amp;L-SOFP-Ratios'!$H$5</f>
        <v>5.6259683035513857E-3</v>
      </c>
      <c r="I11" s="67">
        <f>+'P&amp;L-SOFP-Ratios'!I8/'P&amp;L-SOFP-Ratios'!$I$5</f>
        <v>5.200929422765556E-3</v>
      </c>
      <c r="J11" s="67">
        <f>+'P&amp;L-SOFP-Ratios'!J8/'P&amp;L-SOFP-Ratios'!$J$5</f>
        <v>5.2036592596297181E-3</v>
      </c>
      <c r="K11" s="67">
        <f>+'P&amp;L-SOFP-Ratios'!K8/'P&amp;L-SOFP-Ratios'!$K$5</f>
        <v>5.0759812730919633E-3</v>
      </c>
      <c r="L11" s="13"/>
    </row>
    <row r="12" spans="1:17" x14ac:dyDescent="0.3">
      <c r="A12" t="s">
        <v>68</v>
      </c>
      <c r="B12" s="67">
        <f>+'P&amp;L-SOFP-Ratios'!B9/'P&amp;L-SOFP-Ratios'!$B$5</f>
        <v>-5.61610984454075E-3</v>
      </c>
      <c r="C12" s="67">
        <f>+'P&amp;L-SOFP-Ratios'!C9/'P&amp;L-SOFP-Ratios'!$C$5</f>
        <v>-5.3020179299875713E-3</v>
      </c>
      <c r="D12" s="67">
        <f>+'P&amp;L-SOFP-Ratios'!D9/'P&amp;L-SOFP-Ratios'!$D$5</f>
        <v>-5.8644150838706019E-3</v>
      </c>
      <c r="E12" s="67">
        <f>+'P&amp;L-SOFP-Ratios'!E9/'P&amp;L-SOFP-Ratios'!$E$5</f>
        <v>-5.5906354778986105E-3</v>
      </c>
      <c r="F12" s="67">
        <f>+'P&amp;L-SOFP-Ratios'!F9/'P&amp;L-SOFP-Ratios'!$F$5</f>
        <v>-7.4517477668572963E-3</v>
      </c>
      <c r="G12" s="67">
        <f>+'P&amp;L-SOFP-Ratios'!G9/'P&amp;L-SOFP-Ratios'!$G$5</f>
        <v>-5.9649852206309657E-3</v>
      </c>
      <c r="H12" s="67">
        <f>+'P&amp;L-SOFP-Ratios'!H9/'P&amp;L-SOFP-Ratios'!$H$5</f>
        <v>-6.0347602958490095E-3</v>
      </c>
      <c r="I12" s="67">
        <f>+'P&amp;L-SOFP-Ratios'!I9/'P&amp;L-SOFP-Ratios'!$I$5</f>
        <v>-6.1813087690212962E-3</v>
      </c>
      <c r="J12" s="67">
        <f>+'P&amp;L-SOFP-Ratios'!J9/'P&amp;L-SOFP-Ratios'!$J$5</f>
        <v>-6.2446875060514356E-3</v>
      </c>
      <c r="K12" s="67">
        <f>+'P&amp;L-SOFP-Ratios'!K9/'P&amp;L-SOFP-Ratios'!$K$5</f>
        <v>-6.3754979116819989E-3</v>
      </c>
      <c r="L12" s="13"/>
    </row>
    <row r="13" spans="1:17" x14ac:dyDescent="0.3">
      <c r="A13" t="s">
        <v>1</v>
      </c>
      <c r="B13" s="67">
        <f>+'P&amp;L-SOFP-Ratios'!B10/'P&amp;L-SOFP-Ratios'!$B$5</f>
        <v>-4.8665040429272145E-2</v>
      </c>
      <c r="C13" s="67">
        <f>+'P&amp;L-SOFP-Ratios'!C10/'P&amp;L-SOFP-Ratios'!$C$5</f>
        <v>-4.4595306482031208E-2</v>
      </c>
      <c r="D13" s="67">
        <f>+'P&amp;L-SOFP-Ratios'!D10/'P&amp;L-SOFP-Ratios'!$D$5</f>
        <v>-4.2936984418295701E-2</v>
      </c>
      <c r="E13" s="67">
        <f>+'P&amp;L-SOFP-Ratios'!E10/'P&amp;L-SOFP-Ratios'!$E$5</f>
        <v>-4.3802121736660211E-2</v>
      </c>
      <c r="F13" s="67">
        <f>+'P&amp;L-SOFP-Ratios'!F10/'P&amp;L-SOFP-Ratios'!$F$5</f>
        <v>-3.5160407069747809E-2</v>
      </c>
      <c r="G13" s="67">
        <f>+'P&amp;L-SOFP-Ratios'!G10/'P&amp;L-SOFP-Ratios'!$G$5</f>
        <v>-4.3031972027201416E-2</v>
      </c>
      <c r="H13" s="67">
        <f>+'P&amp;L-SOFP-Ratios'!H10/'P&amp;L-SOFP-Ratios'!$H$5</f>
        <v>-4.1905358346787269E-2</v>
      </c>
      <c r="I13" s="67">
        <f>+'P&amp;L-SOFP-Ratios'!I10/'P&amp;L-SOFP-Ratios'!$I$5</f>
        <v>-4.1367368719738486E-2</v>
      </c>
      <c r="J13" s="67">
        <f>+'P&amp;L-SOFP-Ratios'!J10/'P&amp;L-SOFP-Ratios'!$J$5</f>
        <v>-4.1053445580027034E-2</v>
      </c>
      <c r="K13" s="67">
        <f>+'P&amp;L-SOFP-Ratios'!K10/'P&amp;L-SOFP-Ratios'!$K$5</f>
        <v>-4.0503710348700407E-2</v>
      </c>
      <c r="L13" s="13"/>
    </row>
    <row r="14" spans="1:17" x14ac:dyDescent="0.3">
      <c r="A14" t="s">
        <v>69</v>
      </c>
      <c r="B14" s="233" t="s">
        <v>101</v>
      </c>
      <c r="C14" s="67">
        <f>+'P&amp;L-SOFP-Ratios'!C11/'P&amp;L-SOFP-Ratios'!$C$5</f>
        <v>-1.0747610326172964E-4</v>
      </c>
      <c r="D14" s="67">
        <f>+'P&amp;L-SOFP-Ratios'!D11/'P&amp;L-SOFP-Ratios'!$D$5</f>
        <v>-1.4804530315495014E-3</v>
      </c>
      <c r="E14" s="67">
        <f>+'P&amp;L-SOFP-Ratios'!E11/'P&amp;L-SOFP-Ratios'!$E$5</f>
        <v>1.1169502654271185E-3</v>
      </c>
      <c r="F14" s="67">
        <f>+'P&amp;L-SOFP-Ratios'!F11/'P&amp;L-SOFP-Ratios'!$F$5</f>
        <v>-8.6654092109932155E-4</v>
      </c>
      <c r="G14" s="67">
        <f>+'P&amp;L-SOFP-Ratios'!G11/'P&amp;L-SOFP-Ratios'!$G$5</f>
        <v>-2.3685459052964652E-4</v>
      </c>
      <c r="H14" s="67">
        <f>+'P&amp;L-SOFP-Ratios'!H11/'P&amp;L-SOFP-Ratios'!$H$5</f>
        <v>-2.8445265391860891E-4</v>
      </c>
      <c r="I14" s="67">
        <f>+'P&amp;L-SOFP-Ratios'!I11/'P&amp;L-SOFP-Ratios'!$I$5</f>
        <v>-3.2245859237779717E-4</v>
      </c>
      <c r="J14" s="67">
        <f>+'P&amp;L-SOFP-Ratios'!J11/'P&amp;L-SOFP-Ratios'!$J$5</f>
        <v>-1.2482582712761088E-4</v>
      </c>
      <c r="K14" s="67">
        <f>+'P&amp;L-SOFP-Ratios'!K11/'P&amp;L-SOFP-Ratios'!$K$5</f>
        <v>-3.4912632653649132E-4</v>
      </c>
      <c r="L14" s="13"/>
      <c r="M14" s="45">
        <f>SUM(B10:B14)</f>
        <v>7.3469637149229966E-2</v>
      </c>
      <c r="N14" s="45">
        <f>SUM(C10:C14)</f>
        <v>7.3855140104487446E-2</v>
      </c>
      <c r="O14" s="45">
        <f>SUM(D10:D14)</f>
        <v>8.1991554761466315E-2</v>
      </c>
      <c r="P14" s="45">
        <f>SUM(E10:E14)</f>
        <v>7.6821269738690509E-2</v>
      </c>
      <c r="Q14" s="45">
        <f>SUM(F10:F14)</f>
        <v>5.188966822674955E-2</v>
      </c>
    </row>
    <row r="15" spans="1:17" x14ac:dyDescent="0.3">
      <c r="A15" s="371" t="s">
        <v>70</v>
      </c>
      <c r="B15" s="370">
        <f>+'P&amp;L-SOFP-Ratios'!B12/'P&amp;L-SOFP-Ratios'!$B$5</f>
        <v>7.346963714922998E-2</v>
      </c>
      <c r="C15" s="370">
        <f>+'P&amp;L-SOFP-Ratios'!C12/'P&amp;L-SOFP-Ratios'!$C$5</f>
        <v>7.3855140104487432E-2</v>
      </c>
      <c r="D15" s="370">
        <f>+'P&amp;L-SOFP-Ratios'!D12/'P&amp;L-SOFP-Ratios'!$D$5</f>
        <v>8.1991554761466301E-2</v>
      </c>
      <c r="E15" s="370">
        <f>+'P&amp;L-SOFP-Ratios'!E12/'P&amp;L-SOFP-Ratios'!$E$5</f>
        <v>7.6821269738690523E-2</v>
      </c>
      <c r="F15" s="370">
        <f>+'P&amp;L-SOFP-Ratios'!F12/'P&amp;L-SOFP-Ratios'!$F$5</f>
        <v>5.1889668226749543E-2</v>
      </c>
      <c r="G15" s="370">
        <f>+'P&amp;L-SOFP-Ratios'!G12/'P&amp;L-SOFP-Ratios'!$G$5</f>
        <v>7.1636103363691694E-2</v>
      </c>
      <c r="H15" s="370">
        <f>+'P&amp;L-SOFP-Ratios'!H12/'P&amp;L-SOFP-Ratios'!$H$5</f>
        <v>7.1269169461301088E-2</v>
      </c>
      <c r="I15" s="370">
        <f>+'P&amp;L-SOFP-Ratios'!I12/'P&amp;L-SOFP-Ratios'!$I$5</f>
        <v>7.0749364704336043E-2</v>
      </c>
      <c r="J15" s="370">
        <f>+'P&amp;L-SOFP-Ratios'!J12/'P&amp;L-SOFP-Ratios'!$J$5</f>
        <v>6.8466960570325724E-2</v>
      </c>
      <c r="K15" s="370">
        <f>+'P&amp;L-SOFP-Ratios'!K12/'P&amp;L-SOFP-Ratios'!$K$5</f>
        <v>6.6820153455754816E-2</v>
      </c>
      <c r="L15" s="13"/>
      <c r="M15" s="45">
        <f>+B15-M14</f>
        <v>0</v>
      </c>
      <c r="N15" s="45">
        <f>+C15-N14</f>
        <v>0</v>
      </c>
      <c r="O15" s="45">
        <f>+D15-O14</f>
        <v>0</v>
      </c>
      <c r="P15" s="45">
        <f>+E15-P14</f>
        <v>0</v>
      </c>
      <c r="Q15" s="45">
        <f>+F15-Q14</f>
        <v>0</v>
      </c>
    </row>
    <row r="16" spans="1:17" x14ac:dyDescent="0.3">
      <c r="A16" t="s">
        <v>0</v>
      </c>
      <c r="B16" s="67">
        <f>+'P&amp;L-SOFP-Ratios'!B13/'P&amp;L-SOFP-Ratios'!$B$5</f>
        <v>4.3126910133803494E-3</v>
      </c>
      <c r="C16" s="67">
        <f>+'P&amp;L-SOFP-Ratios'!C13/'P&amp;L-SOFP-Ratios'!$C$5</f>
        <v>3.2097618541227983E-3</v>
      </c>
      <c r="D16" s="67">
        <f>+'P&amp;L-SOFP-Ratios'!D13/'P&amp;L-SOFP-Ratios'!$D$5</f>
        <v>7.3271381389943607E-3</v>
      </c>
      <c r="E16" s="67">
        <f>+'P&amp;L-SOFP-Ratios'!E13/'P&amp;L-SOFP-Ratios'!$E$5</f>
        <v>8.7093612464859121E-3</v>
      </c>
      <c r="F16" s="67">
        <f>+'P&amp;L-SOFP-Ratios'!F13/'P&amp;L-SOFP-Ratios'!$F$5</f>
        <v>8.8698539831157421E-3</v>
      </c>
      <c r="G16" s="67">
        <f>+'P&amp;L-SOFP-Ratios'!G13/'P&amp;L-SOFP-Ratios'!$G$5</f>
        <v>3.6180858773767551E-3</v>
      </c>
      <c r="H16" s="67">
        <f>+'P&amp;L-SOFP-Ratios'!H13/'P&amp;L-SOFP-Ratios'!$H$5</f>
        <v>3.5546292203652179E-3</v>
      </c>
      <c r="I16" s="67">
        <f>+'P&amp;L-SOFP-Ratios'!I13/'P&amp;L-SOFP-Ratios'!$I$5</f>
        <v>3.3032453116873233E-3</v>
      </c>
      <c r="J16" s="67">
        <f>+'P&amp;L-SOFP-Ratios'!J13/'P&amp;L-SOFP-Ratios'!$J$5</f>
        <v>2.8097922858739618E-3</v>
      </c>
      <c r="K16" s="67">
        <f>+'P&amp;L-SOFP-Ratios'!K13/'P&amp;L-SOFP-Ratios'!$K$5</f>
        <v>2.3556248307596618E-3</v>
      </c>
      <c r="L16" s="13"/>
    </row>
    <row r="17" spans="1:17" x14ac:dyDescent="0.3">
      <c r="A17" t="s">
        <v>71</v>
      </c>
      <c r="B17" s="67">
        <f>+'P&amp;L-SOFP-Ratios'!B14/'P&amp;L-SOFP-Ratios'!$B$5</f>
        <v>-4.0337984950028173E-3</v>
      </c>
      <c r="C17" s="67">
        <f>+'P&amp;L-SOFP-Ratios'!C14/'P&amp;L-SOFP-Ratios'!$C$5</f>
        <v>-5.9687036643177325E-3</v>
      </c>
      <c r="D17" s="67">
        <f>+'P&amp;L-SOFP-Ratios'!D14/'P&amp;L-SOFP-Ratios'!$D$5</f>
        <v>-4.8169040359917316E-3</v>
      </c>
      <c r="E17" s="67">
        <f>+'P&amp;L-SOFP-Ratios'!E14/'P&amp;L-SOFP-Ratios'!$E$5</f>
        <v>-3.7397711354840817E-3</v>
      </c>
      <c r="F17" s="67">
        <f>+'P&amp;L-SOFP-Ratios'!F14/'P&amp;L-SOFP-Ratios'!$F$5</f>
        <v>-3.0092181239786331E-3</v>
      </c>
      <c r="G17" s="67">
        <f>+'P&amp;L-SOFP-Ratios'!G14/'P&amp;L-SOFP-Ratios'!$G$5</f>
        <v>-5.7142675709754382E-3</v>
      </c>
      <c r="H17" s="67">
        <f>+'P&amp;L-SOFP-Ratios'!H14/'P&amp;L-SOFP-Ratios'!$H$5</f>
        <v>-4.6072885402194353E-3</v>
      </c>
      <c r="I17" s="67">
        <f>+'P&amp;L-SOFP-Ratios'!I14/'P&amp;L-SOFP-Ratios'!$I$5</f>
        <v>-3.5560365638290618E-3</v>
      </c>
      <c r="J17" s="67">
        <f>+'P&amp;L-SOFP-Ratios'!J14/'P&amp;L-SOFP-Ratios'!$J$5</f>
        <v>-2.5803231528953403E-3</v>
      </c>
      <c r="K17" s="67">
        <f>+'P&amp;L-SOFP-Ratios'!K14/'P&amp;L-SOFP-Ratios'!$K$5</f>
        <v>-1.7731261170289012E-3</v>
      </c>
      <c r="L17" s="13"/>
    </row>
    <row r="18" spans="1:17" x14ac:dyDescent="0.3">
      <c r="A18" t="s">
        <v>72</v>
      </c>
      <c r="B18" s="67">
        <f>+'P&amp;L-SOFP-Ratios'!B15/'P&amp;L-SOFP-Ratios'!$B$5</f>
        <v>2.7889251837753202E-4</v>
      </c>
      <c r="C18" s="67">
        <f>+'P&amp;L-SOFP-Ratios'!C15/'P&amp;L-SOFP-Ratios'!$C$5</f>
        <v>-2.7589418101949337E-3</v>
      </c>
      <c r="D18" s="67">
        <f>+'P&amp;L-SOFP-Ratios'!D15/'P&amp;L-SOFP-Ratios'!$D$5</f>
        <v>2.5102341030026286E-3</v>
      </c>
      <c r="E18" s="67">
        <f>+'P&amp;L-SOFP-Ratios'!E15/'P&amp;L-SOFP-Ratios'!$E$5</f>
        <v>4.9695901110018295E-3</v>
      </c>
      <c r="F18" s="67">
        <f>+'P&amp;L-SOFP-Ratios'!F15/'P&amp;L-SOFP-Ratios'!$F$5</f>
        <v>5.8606358591371081E-3</v>
      </c>
      <c r="G18" s="67">
        <f>+'P&amp;L-SOFP-Ratios'!G15/'P&amp;L-SOFP-Ratios'!$G$5</f>
        <v>-2.0961816935986832E-3</v>
      </c>
      <c r="H18" s="67">
        <f>+'P&amp;L-SOFP-Ratios'!H15/'P&amp;L-SOFP-Ratios'!$H$5</f>
        <v>-1.0526593198542174E-3</v>
      </c>
      <c r="I18" s="67">
        <f>+'P&amp;L-SOFP-Ratios'!I15/'P&amp;L-SOFP-Ratios'!$I$5</f>
        <v>-2.5279125214173841E-4</v>
      </c>
      <c r="J18" s="67">
        <f>+'P&amp;L-SOFP-Ratios'!J15/'P&amp;L-SOFP-Ratios'!$J$5</f>
        <v>2.2946913297862171E-4</v>
      </c>
      <c r="K18" s="67">
        <f>+'P&amp;L-SOFP-Ratios'!K15/'P&amp;L-SOFP-Ratios'!$K$5</f>
        <v>5.8249871373076045E-4</v>
      </c>
      <c r="L18" s="13"/>
      <c r="M18" s="45">
        <f>+B15+B18</f>
        <v>7.3748529667607518E-2</v>
      </c>
      <c r="N18" s="45">
        <f>+C15+C18</f>
        <v>7.1096198294292492E-2</v>
      </c>
      <c r="O18" s="45">
        <f>+D15+D18</f>
        <v>8.4501788864468935E-2</v>
      </c>
      <c r="P18" s="45">
        <f>+E15+E18</f>
        <v>8.1790859849692352E-2</v>
      </c>
      <c r="Q18" s="45">
        <f>+F15+F18</f>
        <v>5.7750304085886647E-2</v>
      </c>
    </row>
    <row r="19" spans="1:17" x14ac:dyDescent="0.3">
      <c r="A19" s="9" t="s">
        <v>2</v>
      </c>
      <c r="B19" s="249">
        <f>+'P&amp;L-SOFP-Ratios'!B16/'P&amp;L-SOFP-Ratios'!$B$5</f>
        <v>7.3748529667607504E-2</v>
      </c>
      <c r="C19" s="249">
        <f>+'P&amp;L-SOFP-Ratios'!C16/'P&amp;L-SOFP-Ratios'!$C$5</f>
        <v>7.1096198294292506E-2</v>
      </c>
      <c r="D19" s="249">
        <f>+'P&amp;L-SOFP-Ratios'!D16/'P&amp;L-SOFP-Ratios'!$D$5</f>
        <v>8.4501788864468935E-2</v>
      </c>
      <c r="E19" s="249">
        <f>+'P&amp;L-SOFP-Ratios'!E16/'P&amp;L-SOFP-Ratios'!$E$5</f>
        <v>8.1790859849692352E-2</v>
      </c>
      <c r="F19" s="249">
        <f>+'P&amp;L-SOFP-Ratios'!F16/'P&amp;L-SOFP-Ratios'!$F$5</f>
        <v>5.7750304085886647E-2</v>
      </c>
      <c r="G19" s="249">
        <f>+'P&amp;L-SOFP-Ratios'!G16/'P&amp;L-SOFP-Ratios'!$G$5</f>
        <v>6.9539921670093013E-2</v>
      </c>
      <c r="H19" s="249">
        <f>+'P&amp;L-SOFP-Ratios'!H16/'P&amp;L-SOFP-Ratios'!$H$5</f>
        <v>7.0216510141446878E-2</v>
      </c>
      <c r="I19" s="249">
        <f>+'P&amp;L-SOFP-Ratios'!I16/'P&amp;L-SOFP-Ratios'!$I$5</f>
        <v>7.0496573452194303E-2</v>
      </c>
      <c r="J19" s="249">
        <f>+'P&amp;L-SOFP-Ratios'!J16/'P&amp;L-SOFP-Ratios'!$J$5</f>
        <v>6.8696429703304349E-2</v>
      </c>
      <c r="K19" s="249">
        <f>+'P&amp;L-SOFP-Ratios'!K16/'P&amp;L-SOFP-Ratios'!$K$5</f>
        <v>6.7402652169485572E-2</v>
      </c>
      <c r="L19" s="13"/>
      <c r="M19" s="45">
        <f>+B19-M18</f>
        <v>0</v>
      </c>
      <c r="N19" s="45">
        <f>+C19-N18</f>
        <v>0</v>
      </c>
      <c r="O19" s="45">
        <f>+D19-O18</f>
        <v>0</v>
      </c>
      <c r="P19" s="45">
        <f>+E19-P18</f>
        <v>0</v>
      </c>
      <c r="Q19" s="45">
        <f>+F19-Q18</f>
        <v>0</v>
      </c>
    </row>
    <row r="20" spans="1:17" x14ac:dyDescent="0.3">
      <c r="A20" t="s">
        <v>73</v>
      </c>
      <c r="B20" s="67">
        <f>+'P&amp;L-SOFP-Ratios'!B17/'P&amp;L-SOFP-Ratios'!$B$5</f>
        <v>-8.9908553764180763E-3</v>
      </c>
      <c r="C20" s="67">
        <f>+'P&amp;L-SOFP-Ratios'!C17/'P&amp;L-SOFP-Ratios'!$C$5</f>
        <v>-1.2547646059142348E-2</v>
      </c>
      <c r="D20" s="67">
        <f>+'P&amp;L-SOFP-Ratios'!D17/'P&amp;L-SOFP-Ratios'!$D$5</f>
        <v>-1.2867154755888876E-2</v>
      </c>
      <c r="E20" s="67">
        <f>+'P&amp;L-SOFP-Ratios'!E17/'P&amp;L-SOFP-Ratios'!$E$5</f>
        <v>-1.4466043053670346E-2</v>
      </c>
      <c r="F20" s="67">
        <f>+'P&amp;L-SOFP-Ratios'!F17/'P&amp;L-SOFP-Ratios'!$F$5</f>
        <v>-6.7046511528482998E-3</v>
      </c>
      <c r="G20" s="67">
        <f>+'P&amp;L-SOFP-Ratios'!G17/'P&amp;L-SOFP-Ratios'!$G$5</f>
        <v>-8.4209083138796735E-3</v>
      </c>
      <c r="H20" s="67">
        <f>+'P&amp;L-SOFP-Ratios'!H17/'P&amp;L-SOFP-Ratios'!$H$5</f>
        <v>-9.2165669745958839E-3</v>
      </c>
      <c r="I20" s="67">
        <f>+'P&amp;L-SOFP-Ratios'!I17/'P&amp;L-SOFP-Ratios'!$I$5</f>
        <v>-1.0046950594506717E-2</v>
      </c>
      <c r="J20" s="67">
        <f>+'P&amp;L-SOFP-Ratios'!J17/'P&amp;L-SOFP-Ratios'!$J$5</f>
        <v>-9.4910788803337504E-3</v>
      </c>
      <c r="K20" s="67">
        <f>+'P&amp;L-SOFP-Ratios'!K17/'P&amp;L-SOFP-Ratios'!$K$5</f>
        <v>-8.7581902756771537E-3</v>
      </c>
      <c r="L20" s="13"/>
    </row>
    <row r="21" spans="1:17" x14ac:dyDescent="0.3">
      <c r="A21" s="369" t="s">
        <v>3</v>
      </c>
      <c r="B21" s="370">
        <f>+'P&amp;L-SOFP-Ratios'!B18/'P&amp;L-SOFP-Ratios'!$B$5</f>
        <v>6.4757674291189435E-2</v>
      </c>
      <c r="C21" s="370">
        <f>+'P&amp;L-SOFP-Ratios'!C18/'P&amp;L-SOFP-Ratios'!$C$5</f>
        <v>5.8548552235150153E-2</v>
      </c>
      <c r="D21" s="370">
        <f>+'P&amp;L-SOFP-Ratios'!D18/'P&amp;L-SOFP-Ratios'!$D$5</f>
        <v>7.1634634108580064E-2</v>
      </c>
      <c r="E21" s="370">
        <f>+'P&amp;L-SOFP-Ratios'!E18/'P&amp;L-SOFP-Ratios'!$E$5</f>
        <v>6.7324816796022008E-2</v>
      </c>
      <c r="F21" s="370">
        <f>+'P&amp;L-SOFP-Ratios'!F18/'P&amp;L-SOFP-Ratios'!$F$5</f>
        <v>5.1045652933038345E-2</v>
      </c>
      <c r="G21" s="370">
        <f>+'P&amp;L-SOFP-Ratios'!G18/'P&amp;L-SOFP-Ratios'!$G$5</f>
        <v>6.1119013356213343E-2</v>
      </c>
      <c r="H21" s="370">
        <f>+'P&amp;L-SOFP-Ratios'!H18/'P&amp;L-SOFP-Ratios'!$H$5</f>
        <v>6.0999943166850992E-2</v>
      </c>
      <c r="I21" s="370">
        <f>+'P&amp;L-SOFP-Ratios'!I18/'P&amp;L-SOFP-Ratios'!$I$5</f>
        <v>6.0449622857687589E-2</v>
      </c>
      <c r="J21" s="370">
        <f>+'P&amp;L-SOFP-Ratios'!J18/'P&amp;L-SOFP-Ratios'!$J$5</f>
        <v>5.9205350822970598E-2</v>
      </c>
      <c r="K21" s="370">
        <f>+'P&amp;L-SOFP-Ratios'!K18/'P&amp;L-SOFP-Ratios'!$K$5</f>
        <v>5.8644461893808425E-2</v>
      </c>
      <c r="L21" s="13"/>
    </row>
    <row r="22" spans="1:17" x14ac:dyDescent="0.3">
      <c r="A22" t="s">
        <v>105</v>
      </c>
      <c r="B22" s="67">
        <f>+'P&amp;L-SOFP-Ratios'!B19/'P&amp;L-SOFP-Ratios'!$B$5</f>
        <v>6.4757674291189435E-2</v>
      </c>
      <c r="C22" s="67">
        <f>+'P&amp;L-SOFP-Ratios'!C19/'P&amp;L-SOFP-Ratios'!$C$5</f>
        <v>5.8548552235150153E-2</v>
      </c>
      <c r="D22" s="67">
        <f>+'P&amp;L-SOFP-Ratios'!D19/'P&amp;L-SOFP-Ratios'!$D$5</f>
        <v>7.1634634108580064E-2</v>
      </c>
      <c r="E22" s="67">
        <f>+'P&amp;L-SOFP-Ratios'!E19/'P&amp;L-SOFP-Ratios'!$E$5</f>
        <v>6.7324816796022008E-2</v>
      </c>
      <c r="F22" s="67">
        <f>+'P&amp;L-SOFP-Ratios'!F19/'P&amp;L-SOFP-Ratios'!$F$5</f>
        <v>5.1045652933038345E-2</v>
      </c>
      <c r="G22" s="67">
        <f>+'P&amp;L-SOFP-Ratios'!G19/'P&amp;L-SOFP-Ratios'!$G$5</f>
        <v>6.1119013356213343E-2</v>
      </c>
      <c r="H22" s="67">
        <f>+'P&amp;L-SOFP-Ratios'!H19/'P&amp;L-SOFP-Ratios'!$H$5</f>
        <v>6.0999943166850992E-2</v>
      </c>
      <c r="I22" s="67">
        <f>+'P&amp;L-SOFP-Ratios'!I19/'P&amp;L-SOFP-Ratios'!$I$5</f>
        <v>6.0449622857687589E-2</v>
      </c>
      <c r="J22" s="67">
        <f>+'P&amp;L-SOFP-Ratios'!J19/'P&amp;L-SOFP-Ratios'!$J$5</f>
        <v>5.9205350822970598E-2</v>
      </c>
      <c r="K22" s="67">
        <f>+'P&amp;L-SOFP-Ratios'!K19/'P&amp;L-SOFP-Ratios'!$K$5</f>
        <v>5.8644461893808425E-2</v>
      </c>
      <c r="L22" s="13"/>
      <c r="M22" s="45">
        <f>+B19+B20</f>
        <v>6.4757674291189421E-2</v>
      </c>
      <c r="N22" s="45">
        <f>+C19+C20</f>
        <v>5.854855223515016E-2</v>
      </c>
      <c r="O22" s="45">
        <f>+D19+D20</f>
        <v>7.1634634108580064E-2</v>
      </c>
      <c r="P22" s="45">
        <f>+E19+E20</f>
        <v>6.7324816796022008E-2</v>
      </c>
      <c r="Q22" s="45">
        <f>+F19+F20</f>
        <v>5.1045652933038345E-2</v>
      </c>
    </row>
    <row r="23" spans="1:17" x14ac:dyDescent="0.3">
      <c r="E23" s="46"/>
      <c r="F23" s="46"/>
      <c r="G23" s="46"/>
      <c r="H23" s="46"/>
      <c r="I23" s="46"/>
      <c r="J23" s="46"/>
      <c r="K23" s="46"/>
      <c r="L23" s="13"/>
      <c r="M23" s="45">
        <f>+B21-M22</f>
        <v>0</v>
      </c>
      <c r="N23" s="45">
        <f>+C21-N22</f>
        <v>0</v>
      </c>
      <c r="O23" s="45">
        <f>+D21-O22</f>
        <v>0</v>
      </c>
      <c r="P23" s="45">
        <f>+E21-P22</f>
        <v>0</v>
      </c>
      <c r="Q23" s="45">
        <f>+F21-Q22</f>
        <v>0</v>
      </c>
    </row>
    <row r="24" spans="1:17" ht="15.6" x14ac:dyDescent="0.3">
      <c r="A24" s="10" t="s">
        <v>74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13"/>
    </row>
    <row r="25" spans="1:17" ht="15.6" x14ac:dyDescent="0.3">
      <c r="A25" s="10" t="s">
        <v>75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13"/>
      <c r="M25" s="45">
        <f>+AVERAGE(B19:F19)</f>
        <v>7.3777536152389592E-2</v>
      </c>
    </row>
    <row r="26" spans="1:17" x14ac:dyDescent="0.3">
      <c r="A26" s="9" t="s">
        <v>9</v>
      </c>
      <c r="B26" s="61">
        <v>2018</v>
      </c>
      <c r="C26" s="61">
        <v>2019</v>
      </c>
      <c r="D26" s="61">
        <v>2020</v>
      </c>
      <c r="E26" s="61">
        <v>2021</v>
      </c>
      <c r="F26" s="61">
        <v>2022</v>
      </c>
      <c r="G26" s="61"/>
      <c r="H26" s="61"/>
      <c r="I26" s="61"/>
      <c r="J26" s="61"/>
      <c r="K26" s="61"/>
      <c r="L26" s="13"/>
      <c r="M26" s="45">
        <f>+AVERAGE(B20:F20)</f>
        <v>-1.1115270079593589E-2</v>
      </c>
    </row>
    <row r="27" spans="1:17" x14ac:dyDescent="0.3">
      <c r="A27" s="9" t="s">
        <v>76</v>
      </c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13"/>
      <c r="M27" s="45">
        <f>+AVERAGE(B21:F21)</f>
        <v>6.2662266072796E-2</v>
      </c>
    </row>
    <row r="28" spans="1:17" x14ac:dyDescent="0.3">
      <c r="A28" s="77" t="s">
        <v>77</v>
      </c>
      <c r="B28" s="78">
        <f>+'P&amp;L-SOFP-Ratios'!B33/'P&amp;L-SOFP-Ratios'!$B$50</f>
        <v>0.38508584950137326</v>
      </c>
      <c r="C28" s="78">
        <f>+'P&amp;L-SOFP-Ratios'!C33/'P&amp;L-SOFP-Ratios'!$C$50</f>
        <v>0.37560354313608846</v>
      </c>
      <c r="D28" s="78">
        <f>+'P&amp;L-SOFP-Ratios'!D33/'P&amp;L-SOFP-Ratios'!$D$50</f>
        <v>0.32553558752894252</v>
      </c>
      <c r="E28" s="78">
        <f>+'P&amp;L-SOFP-Ratios'!E33/'P&amp;L-SOFP-Ratios'!$E$50</f>
        <v>0.2800965641102533</v>
      </c>
      <c r="F28" s="78">
        <f>+'P&amp;L-SOFP-Ratios'!F33/'P&amp;L-SOFP-Ratios'!$F$50</f>
        <v>0.24568907202793613</v>
      </c>
      <c r="G28" s="78">
        <f>+'P&amp;L-SOFP-Ratios'!G33/'P&amp;L-SOFP-Ratios'!$G$50</f>
        <v>0.27631693611427904</v>
      </c>
      <c r="H28" s="78">
        <f>+'P&amp;L-SOFP-Ratios'!H33/'P&amp;L-SOFP-Ratios'!$H$50</f>
        <v>0.25442375949557638</v>
      </c>
      <c r="I28" s="78">
        <f>+'P&amp;L-SOFP-Ratios'!I33/'P&amp;L-SOFP-Ratios'!$I$50</f>
        <v>0.23048581914575117</v>
      </c>
      <c r="J28" s="78">
        <f>+'P&amp;L-SOFP-Ratios'!J33/'P&amp;L-SOFP-Ratios'!$J$50</f>
        <v>0.20877952100889133</v>
      </c>
      <c r="K28" s="78">
        <f>+'P&amp;L-SOFP-Ratios'!K33/'P&amp;L-SOFP-Ratios'!$K$50</f>
        <v>0.19434707850628022</v>
      </c>
      <c r="L28" s="13"/>
    </row>
    <row r="29" spans="1:17" x14ac:dyDescent="0.3">
      <c r="A29" s="77" t="s">
        <v>78</v>
      </c>
      <c r="B29" s="78">
        <f>+'P&amp;L-SOFP-Ratios'!B34/'P&amp;L-SOFP-Ratios'!$B$50</f>
        <v>2.7834489210698159E-3</v>
      </c>
      <c r="C29" s="78">
        <f>+'P&amp;L-SOFP-Ratios'!C34/'P&amp;L-SOFP-Ratios'!$C$50</f>
        <v>4.2134052856680386E-3</v>
      </c>
      <c r="D29" s="78">
        <f>+'P&amp;L-SOFP-Ratios'!D34/'P&amp;L-SOFP-Ratios'!$D$50</f>
        <v>2.8827453010372593E-3</v>
      </c>
      <c r="E29" s="78">
        <f>+'P&amp;L-SOFP-Ratios'!E34/'P&amp;L-SOFP-Ratios'!$E$50</f>
        <v>4.0339121034051557E-3</v>
      </c>
      <c r="F29" s="78">
        <f>+'P&amp;L-SOFP-Ratios'!F34/'P&amp;L-SOFP-Ratios'!$F$50</f>
        <v>2.3940885342424983E-3</v>
      </c>
      <c r="G29" s="78">
        <f>+'P&amp;L-SOFP-Ratios'!G34/'P&amp;L-SOFP-Ratios'!$G$50</f>
        <v>2.8654834278589326E-3</v>
      </c>
      <c r="H29" s="78">
        <f>+'P&amp;L-SOFP-Ratios'!H34/'P&amp;L-SOFP-Ratios'!$H$50</f>
        <v>2.862944909613317E-3</v>
      </c>
      <c r="I29" s="78">
        <f>+'P&amp;L-SOFP-Ratios'!I34/'P&amp;L-SOFP-Ratios'!$I$50</f>
        <v>2.7145298245394699E-3</v>
      </c>
      <c r="J29" s="78">
        <f>+'P&amp;L-SOFP-Ratios'!J34/'P&amp;L-SOFP-Ratios'!$J$50</f>
        <v>2.6303099935675771E-3</v>
      </c>
      <c r="K29" s="78">
        <f>+'P&amp;L-SOFP-Ratios'!K34/'P&amp;L-SOFP-Ratios'!$K$50</f>
        <v>2.4842992848793195E-3</v>
      </c>
      <c r="L29" s="13"/>
      <c r="M29" s="45">
        <f>+AVERAGE(B28:F28)</f>
        <v>0.32240212326091872</v>
      </c>
    </row>
    <row r="30" spans="1:17" x14ac:dyDescent="0.3">
      <c r="A30" s="77" t="s">
        <v>79</v>
      </c>
      <c r="B30" s="62" t="s">
        <v>82</v>
      </c>
      <c r="C30" s="62" t="s">
        <v>82</v>
      </c>
      <c r="D30" s="78">
        <f>+'P&amp;L-SOFP-Ratios'!D35/'P&amp;L-SOFP-Ratios'!$D$50</f>
        <v>3.3765423694314914E-2</v>
      </c>
      <c r="E30" s="78">
        <f>+'P&amp;L-SOFP-Ratios'!E35/'P&amp;L-SOFP-Ratios'!$E$50</f>
        <v>2.890788128969558E-2</v>
      </c>
      <c r="F30" s="78">
        <f>+'P&amp;L-SOFP-Ratios'!F35/'P&amp;L-SOFP-Ratios'!$F$50</f>
        <v>2.2397953710548382E-2</v>
      </c>
      <c r="G30" s="78">
        <f>+'P&amp;L-SOFP-Ratios'!G35/'P&amp;L-SOFP-Ratios'!$G$50</f>
        <v>2.8241767736547695E-2</v>
      </c>
      <c r="H30" s="78">
        <f>+'P&amp;L-SOFP-Ratios'!H35/'P&amp;L-SOFP-Ratios'!$H$50</f>
        <v>2.9465342278904374E-2</v>
      </c>
      <c r="I30" s="78">
        <f>+'P&amp;L-SOFP-Ratios'!I35/'P&amp;L-SOFP-Ratios'!$I$50</f>
        <v>3.1002583101141033E-2</v>
      </c>
      <c r="J30" s="78">
        <f>+'P&amp;L-SOFP-Ratios'!J35/'P&amp;L-SOFP-Ratios'!$J$50</f>
        <v>3.1175378721122936E-2</v>
      </c>
      <c r="K30" s="78">
        <f>+'P&amp;L-SOFP-Ratios'!K35/'P&amp;L-SOFP-Ratios'!$K$50</f>
        <v>3.1884855792409635E-2</v>
      </c>
      <c r="L30" s="13"/>
    </row>
    <row r="31" spans="1:17" x14ac:dyDescent="0.3">
      <c r="A31" s="77" t="s">
        <v>80</v>
      </c>
      <c r="B31" s="78">
        <f>+'P&amp;L-SOFP-Ratios'!B36/'P&amp;L-SOFP-Ratios'!$B$50</f>
        <v>2.2721311227391697E-2</v>
      </c>
      <c r="C31" s="78">
        <f>+'P&amp;L-SOFP-Ratios'!C36/'P&amp;L-SOFP-Ratios'!$C$50</f>
        <v>5.3202165234941534E-3</v>
      </c>
      <c r="D31" s="78">
        <f>+'P&amp;L-SOFP-Ratios'!D36/'P&amp;L-SOFP-Ratios'!$D$50</f>
        <v>2.1864113233149473E-2</v>
      </c>
      <c r="E31" s="78">
        <f>+'P&amp;L-SOFP-Ratios'!E36/'P&amp;L-SOFP-Ratios'!$E$50</f>
        <v>1.3674920872112426E-2</v>
      </c>
      <c r="F31" s="78">
        <f>+'P&amp;L-SOFP-Ratios'!F36/'P&amp;L-SOFP-Ratios'!$F$50</f>
        <v>8.7967739552232263E-2</v>
      </c>
      <c r="G31" s="78">
        <f>+'P&amp;L-SOFP-Ratios'!G36/'P&amp;L-SOFP-Ratios'!$G$50</f>
        <v>0.10012123341642797</v>
      </c>
      <c r="H31" s="78">
        <f>+'P&amp;L-SOFP-Ratios'!H36/'P&amp;L-SOFP-Ratios'!$H$50</f>
        <v>9.2675141641840195E-2</v>
      </c>
      <c r="I31" s="78">
        <f>+'P&amp;L-SOFP-Ratios'!I36/'P&amp;L-SOFP-Ratios'!$I$50</f>
        <v>8.5590247780794951E-2</v>
      </c>
      <c r="J31" s="78">
        <f>+'P&amp;L-SOFP-Ratios'!J36/'P&amp;L-SOFP-Ratios'!$J$50</f>
        <v>7.7503694586226246E-2</v>
      </c>
      <c r="K31" s="78">
        <f>+'P&amp;L-SOFP-Ratios'!K36/'P&amp;L-SOFP-Ratios'!$K$50</f>
        <v>7.1799721370561287E-2</v>
      </c>
      <c r="L31" s="13"/>
    </row>
    <row r="32" spans="1:17" x14ac:dyDescent="0.3">
      <c r="A32" s="77" t="s">
        <v>81</v>
      </c>
      <c r="B32" s="62" t="s">
        <v>82</v>
      </c>
      <c r="C32" s="62" t="s">
        <v>82</v>
      </c>
      <c r="D32" s="62" t="s">
        <v>82</v>
      </c>
      <c r="E32" s="62" t="s">
        <v>82</v>
      </c>
      <c r="F32" s="62" t="s">
        <v>82</v>
      </c>
      <c r="G32" s="62" t="s">
        <v>82</v>
      </c>
      <c r="H32" s="62" t="s">
        <v>82</v>
      </c>
      <c r="I32" s="62" t="s">
        <v>82</v>
      </c>
      <c r="J32" s="62" t="s">
        <v>82</v>
      </c>
      <c r="K32" s="62" t="s">
        <v>82</v>
      </c>
      <c r="L32" s="13"/>
    </row>
    <row r="33" spans="1:17" x14ac:dyDescent="0.3">
      <c r="A33" s="77" t="s">
        <v>83</v>
      </c>
      <c r="B33" s="62">
        <f>+'P&amp;L-SOFP-Ratios'!B38/'P&amp;L-SOFP-Ratios'!B50</f>
        <v>6.3925586058651051E-3</v>
      </c>
      <c r="C33" s="62">
        <f>+'P&amp;L-SOFP-Ratios'!C38/'P&amp;L-SOFP-Ratios'!C50</f>
        <v>4.9594095505788877E-3</v>
      </c>
      <c r="D33" s="62">
        <f>+'P&amp;L-SOFP-Ratios'!D38/'P&amp;L-SOFP-Ratios'!D50</f>
        <v>9.5042027456437358E-3</v>
      </c>
      <c r="E33" s="62">
        <f>+'P&amp;L-SOFP-Ratios'!E38/'P&amp;L-SOFP-Ratios'!E50</f>
        <v>8.7856529683798101E-3</v>
      </c>
      <c r="F33" s="62">
        <f>+'P&amp;L-SOFP-Ratios'!F38/'P&amp;L-SOFP-Ratios'!F50</f>
        <v>7.2066420926047824E-3</v>
      </c>
      <c r="G33" s="78">
        <f>+'P&amp;L-SOFP-Ratios'!G38/'P&amp;L-SOFP-Ratios'!$G$50</f>
        <v>5.6179808905484074E-3</v>
      </c>
      <c r="H33" s="78">
        <f>+'P&amp;L-SOFP-Ratios'!H38/'P&amp;L-SOFP-Ratios'!$H$50</f>
        <v>4.9421139119705578E-3</v>
      </c>
      <c r="I33" s="78">
        <f>+'P&amp;L-SOFP-Ratios'!I38/'P&amp;L-SOFP-Ratios'!$I$50</f>
        <v>4.2370148874491557E-3</v>
      </c>
      <c r="J33" s="78">
        <f>+'P&amp;L-SOFP-Ratios'!J38/'P&amp;L-SOFP-Ratios'!$J$50</f>
        <v>3.9615769571601615E-3</v>
      </c>
      <c r="K33" s="78">
        <f>+'P&amp;L-SOFP-Ratios'!K38/'P&amp;L-SOFP-Ratios'!$K$50</f>
        <v>3.5014140200068035E-3</v>
      </c>
      <c r="L33" s="13"/>
    </row>
    <row r="34" spans="1:17" x14ac:dyDescent="0.3">
      <c r="A34" s="77" t="s">
        <v>99</v>
      </c>
      <c r="B34" s="78">
        <f>+'P&amp;L-SOFP-Ratios'!B39/'P&amp;L-SOFP-Ratios'!$B$50</f>
        <v>1.1644300804255122E-2</v>
      </c>
      <c r="C34" s="78">
        <f>+'P&amp;L-SOFP-Ratios'!C39/'P&amp;L-SOFP-Ratios'!C50</f>
        <v>1.0537287906408717E-2</v>
      </c>
      <c r="D34" s="62" t="s">
        <v>82</v>
      </c>
      <c r="E34" s="62" t="s">
        <v>82</v>
      </c>
      <c r="F34" s="62" t="s">
        <v>82</v>
      </c>
      <c r="G34" s="62" t="s">
        <v>82</v>
      </c>
      <c r="H34" s="62" t="s">
        <v>82</v>
      </c>
      <c r="I34" s="62" t="s">
        <v>82</v>
      </c>
      <c r="J34" s="62" t="s">
        <v>82</v>
      </c>
      <c r="K34" s="62" t="s">
        <v>82</v>
      </c>
      <c r="L34" s="13"/>
    </row>
    <row r="35" spans="1:17" x14ac:dyDescent="0.3">
      <c r="A35" s="77" t="s">
        <v>84</v>
      </c>
      <c r="B35" s="78">
        <f>+'P&amp;L-SOFP-Ratios'!B40/'P&amp;L-SOFP-Ratios'!B50</f>
        <v>2.6124286836409789E-3</v>
      </c>
      <c r="C35" s="78">
        <f>+'P&amp;L-SOFP-Ratios'!C40/'P&amp;L-SOFP-Ratios'!C50</f>
        <v>2.5869819754201868E-3</v>
      </c>
      <c r="D35" s="78">
        <f>+'P&amp;L-SOFP-Ratios'!D40/'P&amp;L-SOFP-Ratios'!D50</f>
        <v>2.3105430198906312E-3</v>
      </c>
      <c r="E35" s="78">
        <f>+'P&amp;L-SOFP-Ratios'!E40/'P&amp;L-SOFP-Ratios'!E50</f>
        <v>2.1128744890687228E-3</v>
      </c>
      <c r="F35" s="78">
        <f>+'P&amp;L-SOFP-Ratios'!F40/'P&amp;L-SOFP-Ratios'!F50</f>
        <v>1.6030046528207648E-3</v>
      </c>
      <c r="G35" s="78">
        <f>+'P&amp;L-SOFP-Ratios'!G40/'P&amp;L-SOFP-Ratios'!$G$50</f>
        <v>1.898416006269082E-3</v>
      </c>
      <c r="H35" s="78">
        <f>+'P&amp;L-SOFP-Ratios'!H40/'P&amp;L-SOFP-Ratios'!$H$50</f>
        <v>1.8419344836677308E-3</v>
      </c>
      <c r="I35" s="78">
        <f>+'P&amp;L-SOFP-Ratios'!I40/'P&amp;L-SOFP-Ratios'!$I$50</f>
        <v>1.7522988424040807E-3</v>
      </c>
      <c r="J35" s="78">
        <f>+'P&amp;L-SOFP-Ratios'!J40/'P&amp;L-SOFP-Ratios'!$J$50</f>
        <v>1.6595159199761023E-3</v>
      </c>
      <c r="K35" s="78">
        <f>+'P&amp;L-SOFP-Ratios'!K40/'P&amp;L-SOFP-Ratios'!$K$50</f>
        <v>1.6003382637978856E-3</v>
      </c>
      <c r="L35" s="13"/>
    </row>
    <row r="36" spans="1:17" x14ac:dyDescent="0.3">
      <c r="A36" s="22" t="s">
        <v>117</v>
      </c>
      <c r="B36" s="52">
        <f>+'P&amp;L-SOFP-Ratios'!B41/'P&amp;L-SOFP-Ratios'!$B$50</f>
        <v>0.431239897743596</v>
      </c>
      <c r="C36" s="52">
        <f>+'P&amp;L-SOFP-Ratios'!C41/'P&amp;L-SOFP-Ratios'!$C$50</f>
        <v>0.40322084437765843</v>
      </c>
      <c r="D36" s="52">
        <f>+'P&amp;L-SOFP-Ratios'!D41/'P&amp;L-SOFP-Ratios'!$D$50</f>
        <v>0.39586261552297852</v>
      </c>
      <c r="E36" s="52">
        <f>+'P&amp;L-SOFP-Ratios'!E41/'P&amp;L-SOFP-Ratios'!$E$50</f>
        <v>0.33761180583291495</v>
      </c>
      <c r="F36" s="52">
        <f>+'P&amp;L-SOFP-Ratios'!F41/'P&amp;L-SOFP-Ratios'!$F$50</f>
        <v>0.36725850057038484</v>
      </c>
      <c r="G36" s="64">
        <f>+'P&amp;L-SOFP-Ratios'!G41/'P&amp;L-SOFP-Ratios'!$G$50</f>
        <v>0.41506181759193123</v>
      </c>
      <c r="H36" s="64">
        <f>+'P&amp;L-SOFP-Ratios'!H41/'P&amp;L-SOFP-Ratios'!$H$50</f>
        <v>0.38621123672157254</v>
      </c>
      <c r="I36" s="64">
        <f>+'P&amp;L-SOFP-Ratios'!I41/'P&amp;L-SOFP-Ratios'!$I$50</f>
        <v>0.35578249358207986</v>
      </c>
      <c r="J36" s="64">
        <f>+'P&amp;L-SOFP-Ratios'!J41/'P&amp;L-SOFP-Ratios'!$J$50</f>
        <v>0.32570999718694438</v>
      </c>
      <c r="K36" s="64">
        <f>+'P&amp;L-SOFP-Ratios'!K41/'P&amp;L-SOFP-Ratios'!$K$50</f>
        <v>0.30561770723793519</v>
      </c>
      <c r="L36" s="13"/>
      <c r="M36" s="45">
        <f>SUM(B28:B35)</f>
        <v>0.43123989774359595</v>
      </c>
      <c r="N36" s="45">
        <f>SUM(C28:C35)</f>
        <v>0.40322084437765843</v>
      </c>
      <c r="O36" s="45">
        <f>SUM(D28:D35)</f>
        <v>0.39586261552297852</v>
      </c>
      <c r="P36" s="45">
        <f>SUM(E28:E35)</f>
        <v>0.33761180583291495</v>
      </c>
      <c r="Q36" s="45">
        <f>SUM(F28:F35)</f>
        <v>0.36725850057038484</v>
      </c>
    </row>
    <row r="37" spans="1:17" x14ac:dyDescent="0.3">
      <c r="A37" s="22"/>
      <c r="B37" s="52"/>
      <c r="C37" s="52"/>
      <c r="D37" s="52"/>
      <c r="E37" s="52"/>
      <c r="F37" s="52"/>
      <c r="G37" s="52"/>
      <c r="H37" s="52"/>
      <c r="I37" s="52"/>
      <c r="J37" s="52"/>
      <c r="K37" s="52"/>
      <c r="L37" s="13"/>
      <c r="M37" s="45">
        <f>+B36-M36</f>
        <v>0</v>
      </c>
      <c r="N37" s="45">
        <f>+C36-N36</f>
        <v>0</v>
      </c>
      <c r="O37" s="45">
        <f>+D36-O36</f>
        <v>0</v>
      </c>
      <c r="P37" s="45">
        <f>+E36-P36</f>
        <v>0</v>
      </c>
      <c r="Q37" s="45">
        <f>+F36-Q36</f>
        <v>0</v>
      </c>
    </row>
    <row r="38" spans="1:17" x14ac:dyDescent="0.3">
      <c r="A38" s="21" t="s">
        <v>85</v>
      </c>
      <c r="B38" s="53"/>
      <c r="C38" s="53"/>
      <c r="D38" s="53"/>
      <c r="E38" s="53"/>
      <c r="F38" s="53"/>
      <c r="G38" s="53"/>
      <c r="H38" s="53"/>
      <c r="I38" s="53"/>
      <c r="J38" s="53"/>
      <c r="K38" s="53"/>
      <c r="L38" s="13"/>
    </row>
    <row r="39" spans="1:17" x14ac:dyDescent="0.3">
      <c r="A39" s="77" t="s">
        <v>5</v>
      </c>
      <c r="B39" s="78">
        <f>+'P&amp;L-SOFP-Ratios'!B43/'P&amp;L-SOFP-Ratios'!$B$50</f>
        <v>0.20910914300971903</v>
      </c>
      <c r="C39" s="78">
        <f>+'P&amp;L-SOFP-Ratios'!C43/'P&amp;L-SOFP-Ratios'!$C$50</f>
        <v>0.20076984959883956</v>
      </c>
      <c r="D39" s="78">
        <f>+'P&amp;L-SOFP-Ratios'!D43/'P&amp;L-SOFP-Ratios'!$D$50</f>
        <v>0.21897563404096201</v>
      </c>
      <c r="E39" s="78">
        <f>+'P&amp;L-SOFP-Ratios'!E43/'P&amp;L-SOFP-Ratios'!$E$50</f>
        <v>0.23411127805642429</v>
      </c>
      <c r="F39" s="78">
        <f>+'P&amp;L-SOFP-Ratios'!F43/'P&amp;L-SOFP-Ratios'!$F$50</f>
        <v>0.27307974827100145</v>
      </c>
      <c r="G39" s="78">
        <f>+'P&amp;L-SOFP-Ratios'!G43/'P&amp;L-SOFP-Ratios'!$G$50</f>
        <v>0.21873492550649337</v>
      </c>
      <c r="H39" s="78">
        <f>+'P&amp;L-SOFP-Ratios'!H43/'P&amp;L-SOFP-Ratios'!$H$50</f>
        <v>0.23395890870171454</v>
      </c>
      <c r="I39" s="78">
        <f>+'P&amp;L-SOFP-Ratios'!I43/'P&amp;L-SOFP-Ratios'!$I$50</f>
        <v>0.2581843137576233</v>
      </c>
      <c r="J39" s="78">
        <f>+'P&amp;L-SOFP-Ratios'!J43/'P&amp;L-SOFP-Ratios'!$J$50</f>
        <v>0.28715445856817473</v>
      </c>
      <c r="K39" s="78">
        <f>+'P&amp;L-SOFP-Ratios'!K43/'P&amp;L-SOFP-Ratios'!$K$50</f>
        <v>0.31699889633521372</v>
      </c>
      <c r="L39" s="13"/>
    </row>
    <row r="40" spans="1:17" x14ac:dyDescent="0.3">
      <c r="A40" s="77" t="s">
        <v>86</v>
      </c>
      <c r="B40" s="78">
        <f>+'P&amp;L-SOFP-Ratios'!B44/'P&amp;L-SOFP-Ratios'!$B$50</f>
        <v>0.17860809767024027</v>
      </c>
      <c r="C40" s="78">
        <f>+'P&amp;L-SOFP-Ratios'!C44/'P&amp;L-SOFP-Ratios'!$C$50</f>
        <v>0.1792488773417554</v>
      </c>
      <c r="D40" s="78">
        <f>+'P&amp;L-SOFP-Ratios'!D44/'P&amp;L-SOFP-Ratios'!$D$50</f>
        <v>0.15341708201834303</v>
      </c>
      <c r="E40" s="78">
        <f>+'P&amp;L-SOFP-Ratios'!E44/'P&amp;L-SOFP-Ratios'!$E$50</f>
        <v>0.23090088827932967</v>
      </c>
      <c r="F40" s="78">
        <f>+'P&amp;L-SOFP-Ratios'!F44/'P&amp;L-SOFP-Ratios'!$F$50</f>
        <v>0.22266086918047828</v>
      </c>
      <c r="G40" s="78">
        <f>+'P&amp;L-SOFP-Ratios'!G44/'P&amp;L-SOFP-Ratios'!$G$50</f>
        <v>0.1625101090586665</v>
      </c>
      <c r="H40" s="78">
        <f>+'P&amp;L-SOFP-Ratios'!H44/'P&amp;L-SOFP-Ratios'!$H$50</f>
        <v>0.17334031783914425</v>
      </c>
      <c r="I40" s="78">
        <f>+'P&amp;L-SOFP-Ratios'!I44/'P&amp;L-SOFP-Ratios'!$I$50</f>
        <v>0.18901320644460812</v>
      </c>
      <c r="J40" s="78">
        <f>+'P&amp;L-SOFP-Ratios'!J44/'P&amp;L-SOFP-Ratios'!$J$50</f>
        <v>0.21045587973626811</v>
      </c>
      <c r="K40" s="78">
        <f>+'P&amp;L-SOFP-Ratios'!K44/'P&amp;L-SOFP-Ratios'!$K$50</f>
        <v>0.21077223200674253</v>
      </c>
      <c r="L40" s="13"/>
    </row>
    <row r="41" spans="1:17" x14ac:dyDescent="0.3">
      <c r="A41" s="77" t="s">
        <v>87</v>
      </c>
      <c r="B41" s="62" t="s">
        <v>82</v>
      </c>
      <c r="C41" s="62">
        <f>+'P&amp;L-SOFP-Ratios'!C45/'P&amp;L-SOFP-Ratios'!C50</f>
        <v>3.9158523270709628E-4</v>
      </c>
      <c r="D41" s="62">
        <f>+'P&amp;L-SOFP-Ratios'!D45/'P&amp;L-SOFP-Ratios'!D50</f>
        <v>6.757164480302322E-4</v>
      </c>
      <c r="E41" s="62">
        <f>+'P&amp;L-SOFP-Ratios'!E45/'P&amp;L-SOFP-Ratios'!E50</f>
        <v>1.9839649968123117E-4</v>
      </c>
      <c r="F41" s="62" t="s">
        <v>82</v>
      </c>
      <c r="G41" s="78">
        <f>+'P&amp;L-SOFP-Ratios'!G45/'P&amp;L-SOFP-Ratios'!$G$50</f>
        <v>3.1032323362373162E-4</v>
      </c>
      <c r="H41" s="78">
        <f>+'P&amp;L-SOFP-Ratios'!H45/'P&amp;L-SOFP-Ratios'!$H$50</f>
        <v>3.2876788232217435E-4</v>
      </c>
      <c r="I41" s="78">
        <f>+'P&amp;L-SOFP-Ratios'!I45/'P&amp;L-SOFP-Ratios'!$I$50</f>
        <v>3.5373657032535997E-4</v>
      </c>
      <c r="J41" s="78">
        <f>+'P&amp;L-SOFP-Ratios'!J45/'P&amp;L-SOFP-Ratios'!$J$50</f>
        <v>3.2104118521908225E-4</v>
      </c>
      <c r="K41" s="78">
        <f>+'P&amp;L-SOFP-Ratios'!K45/'P&amp;L-SOFP-Ratios'!$K$50</f>
        <v>3.686935486030378E-4</v>
      </c>
      <c r="L41" s="13"/>
    </row>
    <row r="42" spans="1:17" x14ac:dyDescent="0.3">
      <c r="A42" s="77" t="s">
        <v>102</v>
      </c>
      <c r="B42" s="78">
        <f>+'P&amp;L-SOFP-Ratios'!B46/'P&amp;L-SOFP-Ratios'!$B$50</f>
        <v>5.017649942734287E-4</v>
      </c>
      <c r="C42" s="62" t="s">
        <v>82</v>
      </c>
      <c r="D42" s="62" t="s">
        <v>82</v>
      </c>
      <c r="E42" s="62" t="s">
        <v>82</v>
      </c>
      <c r="F42" s="62" t="s">
        <v>82</v>
      </c>
      <c r="G42" s="62" t="s">
        <v>82</v>
      </c>
      <c r="H42" s="62" t="s">
        <v>82</v>
      </c>
      <c r="I42" s="62" t="s">
        <v>82</v>
      </c>
      <c r="J42" s="62" t="s">
        <v>82</v>
      </c>
      <c r="K42" s="62" t="s">
        <v>82</v>
      </c>
      <c r="L42" s="13"/>
    </row>
    <row r="43" spans="1:17" x14ac:dyDescent="0.3">
      <c r="A43" s="77" t="s">
        <v>103</v>
      </c>
      <c r="B43" s="78">
        <f>+'P&amp;L-SOFP-Ratios'!B47/'P&amp;L-SOFP-Ratios'!$B$50</f>
        <v>4.0346566939958299E-2</v>
      </c>
      <c r="C43" s="78">
        <f>+'P&amp;L-SOFP-Ratios'!C47/'P&amp;L-SOFP-Ratios'!$C$50</f>
        <v>2.4719543716989031E-2</v>
      </c>
      <c r="D43" s="78">
        <f>+'P&amp;L-SOFP-Ratios'!D47/'P&amp;L-SOFP-Ratios'!$D$50</f>
        <v>3.5880398745027027E-2</v>
      </c>
      <c r="E43" s="78">
        <f>+'P&amp;L-SOFP-Ratios'!E47/'P&amp;L-SOFP-Ratios'!$E$50</f>
        <v>5.4008286156821531E-2</v>
      </c>
      <c r="F43" s="78">
        <f>+'P&amp;L-SOFP-Ratios'!F47/'P&amp;L-SOFP-Ratios'!$F$50</f>
        <v>3.0422961317766329E-2</v>
      </c>
      <c r="G43" s="78">
        <f>+'P&amp;L-SOFP-Ratios'!G47/'P&amp;L-SOFP-Ratios'!$G$50</f>
        <v>2.2084679886699446E-2</v>
      </c>
      <c r="H43" s="78">
        <f>+'P&amp;L-SOFP-Ratios'!H47/'P&amp;L-SOFP-Ratios'!$H$50</f>
        <v>2.1837777923779299E-2</v>
      </c>
      <c r="I43" s="78">
        <f>+'P&amp;L-SOFP-Ratios'!I47/'P&amp;L-SOFP-Ratios'!$I$50</f>
        <v>2.2224397627714956E-2</v>
      </c>
      <c r="J43" s="78">
        <f>+'P&amp;L-SOFP-Ratios'!J47/'P&amp;L-SOFP-Ratios'!$J$50</f>
        <v>2.151866424888773E-2</v>
      </c>
      <c r="K43" s="78">
        <f>+'P&amp;L-SOFP-Ratios'!K47/'P&amp;L-SOFP-Ratios'!$K$50</f>
        <v>1.9420267098275247E-2</v>
      </c>
      <c r="L43" s="13"/>
    </row>
    <row r="44" spans="1:17" x14ac:dyDescent="0.3">
      <c r="A44" s="77" t="s">
        <v>6</v>
      </c>
      <c r="B44" s="78">
        <f>+'P&amp;L-SOFP-Ratios'!B48/'P&amp;L-SOFP-Ratios'!$B$50</f>
        <v>0.14019452964221299</v>
      </c>
      <c r="C44" s="78">
        <f>+'P&amp;L-SOFP-Ratios'!C48/'P&amp;L-SOFP-Ratios'!$C$50</f>
        <v>0.19164929973205044</v>
      </c>
      <c r="D44" s="78">
        <f>+'P&amp;L-SOFP-Ratios'!D48/'P&amp;L-SOFP-Ratios'!$D$50</f>
        <v>0.19518855322465917</v>
      </c>
      <c r="E44" s="78">
        <f>+'P&amp;L-SOFP-Ratios'!E48/'P&amp;L-SOFP-Ratios'!$E$50</f>
        <v>0.14316934517482832</v>
      </c>
      <c r="F44" s="78">
        <f>+'P&amp;L-SOFP-Ratios'!F48/'P&amp;L-SOFP-Ratios'!$F$50</f>
        <v>0.10657792066036913</v>
      </c>
      <c r="G44" s="78">
        <f>+'P&amp;L-SOFP-Ratios'!G48/'P&amp;L-SOFP-Ratios'!$G$50</f>
        <v>0.18129814472258576</v>
      </c>
      <c r="H44" s="78">
        <f>+'P&amp;L-SOFP-Ratios'!H48/'P&amp;L-SOFP-Ratios'!$H$50</f>
        <v>0.18432299093146737</v>
      </c>
      <c r="I44" s="78">
        <f>+'P&amp;L-SOFP-Ratios'!I48/'P&amp;L-SOFP-Ratios'!$I$50</f>
        <v>0.1744418520176485</v>
      </c>
      <c r="J44" s="78">
        <f>+'P&amp;L-SOFP-Ratios'!J48/'P&amp;L-SOFP-Ratios'!$J$50</f>
        <v>0.1548399590745059</v>
      </c>
      <c r="K44" s="78">
        <f>+'P&amp;L-SOFP-Ratios'!K48/'P&amp;L-SOFP-Ratios'!$K$50</f>
        <v>0.14682220377323024</v>
      </c>
      <c r="L44" s="13"/>
    </row>
    <row r="45" spans="1:17" x14ac:dyDescent="0.3">
      <c r="A45" s="28" t="s">
        <v>116</v>
      </c>
      <c r="B45" s="64">
        <f>+'P&amp;L-SOFP-Ratios'!B49/'P&amp;L-SOFP-Ratios'!$B$50</f>
        <v>0.56876010225640405</v>
      </c>
      <c r="C45" s="64">
        <f>+'P&amp;L-SOFP-Ratios'!C49/'P&amp;L-SOFP-Ratios'!$C$50</f>
        <v>0.59677915562234152</v>
      </c>
      <c r="D45" s="64">
        <f>+'P&amp;L-SOFP-Ratios'!D49/'P&amp;L-SOFP-Ratios'!$D$50</f>
        <v>0.60413738447702148</v>
      </c>
      <c r="E45" s="64">
        <f>+'P&amp;L-SOFP-Ratios'!E49/'P&amp;L-SOFP-Ratios'!$E$50</f>
        <v>0.66238819416708505</v>
      </c>
      <c r="F45" s="64">
        <f>+'P&amp;L-SOFP-Ratios'!F49/'P&amp;L-SOFP-Ratios'!$F$50</f>
        <v>0.63274149942961522</v>
      </c>
      <c r="G45" s="64">
        <f>+'P&amp;L-SOFP-Ratios'!G49/'P&amp;L-SOFP-Ratios'!$G$50</f>
        <v>0.58493818240806883</v>
      </c>
      <c r="H45" s="64">
        <f>+'P&amp;L-SOFP-Ratios'!H49/'P&amp;L-SOFP-Ratios'!$H$50</f>
        <v>0.61378876327842746</v>
      </c>
      <c r="I45" s="64">
        <f>+'P&amp;L-SOFP-Ratios'!I49/'P&amp;L-SOFP-Ratios'!$I$50</f>
        <v>0.64421750641792019</v>
      </c>
      <c r="J45" s="64">
        <f>+'P&amp;L-SOFP-Ratios'!J50/'P&amp;L-SOFP-Ratios'!$J$50</f>
        <v>1</v>
      </c>
      <c r="K45" s="64">
        <f>+'P&amp;L-SOFP-Ratios'!K49/'P&amp;L-SOFP-Ratios'!$K$50</f>
        <v>0.69438229276206487</v>
      </c>
      <c r="L45" s="13"/>
      <c r="M45" s="45">
        <f>SUM(B39:B44)</f>
        <v>0.56876010225640394</v>
      </c>
      <c r="N45" s="45">
        <f>SUM(C39:C44)</f>
        <v>0.59677915562234152</v>
      </c>
      <c r="O45" s="45">
        <f>SUM(D39:D44)</f>
        <v>0.60413738447702148</v>
      </c>
      <c r="P45" s="45">
        <f>SUM(E39:E44)</f>
        <v>0.66238819416708505</v>
      </c>
      <c r="Q45" s="45">
        <f>SUM(F39:F44)</f>
        <v>0.63274149942961511</v>
      </c>
    </row>
    <row r="46" spans="1:17" x14ac:dyDescent="0.3">
      <c r="A46" s="22"/>
      <c r="B46" s="50"/>
      <c r="C46" s="50"/>
      <c r="D46" s="50"/>
      <c r="E46" s="50"/>
      <c r="F46" s="50"/>
      <c r="G46" s="50"/>
      <c r="H46" s="50"/>
      <c r="I46" s="50"/>
      <c r="J46" s="50"/>
      <c r="K46" s="50"/>
      <c r="L46" s="13"/>
      <c r="M46" s="45">
        <f>+B45-M45</f>
        <v>0</v>
      </c>
      <c r="N46" s="45">
        <f>+C45-N45</f>
        <v>0</v>
      </c>
      <c r="O46" s="45">
        <f>+D45-O45</f>
        <v>0</v>
      </c>
      <c r="P46" s="45">
        <f>+E45-P45</f>
        <v>0</v>
      </c>
      <c r="Q46" s="45">
        <f>+F45-Q45</f>
        <v>0</v>
      </c>
    </row>
    <row r="47" spans="1:17" x14ac:dyDescent="0.3">
      <c r="A47" s="21" t="s">
        <v>7</v>
      </c>
      <c r="B47" s="53">
        <f>+'P&amp;L-SOFP-Ratios'!B50/'P&amp;L-SOFP-Ratios'!$B$50</f>
        <v>1</v>
      </c>
      <c r="C47" s="53">
        <f>+'P&amp;L-SOFP-Ratios'!C50/'P&amp;L-SOFP-Ratios'!$C$50</f>
        <v>1</v>
      </c>
      <c r="D47" s="53">
        <f>+'P&amp;L-SOFP-Ratios'!D50/'P&amp;L-SOFP-Ratios'!$D$50</f>
        <v>1</v>
      </c>
      <c r="E47" s="53">
        <f>+'P&amp;L-SOFP-Ratios'!E50/'P&amp;L-SOFP-Ratios'!$E$50</f>
        <v>1</v>
      </c>
      <c r="F47" s="53">
        <f>+'P&amp;L-SOFP-Ratios'!F50/'P&amp;L-SOFP-Ratios'!$F$50</f>
        <v>1</v>
      </c>
      <c r="G47" s="53">
        <f>+'P&amp;L-SOFP-Ratios'!G50/'P&amp;L-SOFP-Ratios'!$G$50</f>
        <v>1</v>
      </c>
      <c r="H47" s="53">
        <f>+'P&amp;L-SOFP-Ratios'!H50/'P&amp;L-SOFP-Ratios'!$H$50</f>
        <v>1</v>
      </c>
      <c r="I47" s="53">
        <f>+'P&amp;L-SOFP-Ratios'!I50/'P&amp;L-SOFP-Ratios'!$I$50</f>
        <v>1</v>
      </c>
      <c r="J47" s="53">
        <f>+'P&amp;L-SOFP-Ratios'!J50/'P&amp;L-SOFP-Ratios'!$J$50</f>
        <v>1</v>
      </c>
      <c r="K47" s="53">
        <f>+'P&amp;L-SOFP-Ratios'!K50/'P&amp;L-SOFP-Ratios'!$K$50</f>
        <v>1</v>
      </c>
      <c r="L47" s="13"/>
    </row>
    <row r="48" spans="1:17" x14ac:dyDescent="0.3">
      <c r="A48" s="20"/>
      <c r="B48" s="54"/>
      <c r="C48" s="54"/>
      <c r="D48" s="54"/>
      <c r="E48" s="54"/>
      <c r="F48" s="54"/>
      <c r="G48" s="54"/>
      <c r="H48" s="54"/>
      <c r="I48" s="54"/>
      <c r="J48" s="54"/>
      <c r="K48" s="54"/>
      <c r="L48" s="13"/>
    </row>
    <row r="49" spans="1:17" x14ac:dyDescent="0.3">
      <c r="A49" s="20"/>
      <c r="B49" s="54"/>
      <c r="C49" s="54"/>
      <c r="D49" s="54"/>
      <c r="E49" s="54"/>
      <c r="F49" s="54"/>
      <c r="G49" s="54"/>
      <c r="H49" s="54"/>
      <c r="I49" s="54"/>
      <c r="J49" s="54"/>
      <c r="K49" s="54"/>
      <c r="L49" s="13"/>
    </row>
    <row r="50" spans="1:17" x14ac:dyDescent="0.3">
      <c r="A50" s="21" t="s">
        <v>8</v>
      </c>
      <c r="B50" s="53"/>
      <c r="C50" s="53"/>
      <c r="D50" s="53"/>
      <c r="E50" s="53"/>
      <c r="F50" s="53"/>
      <c r="G50" s="53"/>
      <c r="H50" s="53"/>
      <c r="I50" s="53"/>
      <c r="J50" s="53"/>
      <c r="K50" s="53"/>
      <c r="L50" s="13"/>
    </row>
    <row r="51" spans="1:17" x14ac:dyDescent="0.3">
      <c r="A51" s="21" t="s">
        <v>88</v>
      </c>
      <c r="B51" s="553" t="s">
        <v>656</v>
      </c>
      <c r="C51" s="552" t="s">
        <v>657</v>
      </c>
      <c r="D51" s="552" t="s">
        <v>658</v>
      </c>
      <c r="E51" s="552" t="s">
        <v>659</v>
      </c>
      <c r="F51" s="552" t="s">
        <v>660</v>
      </c>
      <c r="G51" s="552" t="s">
        <v>661</v>
      </c>
      <c r="H51" s="552" t="s">
        <v>662</v>
      </c>
      <c r="I51" s="552" t="s">
        <v>663</v>
      </c>
      <c r="J51" s="552" t="s">
        <v>664</v>
      </c>
      <c r="K51" s="552" t="s">
        <v>665</v>
      </c>
      <c r="L51" s="13"/>
    </row>
    <row r="52" spans="1:17" x14ac:dyDescent="0.3">
      <c r="A52" s="77" t="s">
        <v>59</v>
      </c>
      <c r="B52" s="78">
        <f>+'P&amp;L-SOFP-Ratios'!B55/'P&amp;L-SOFP-Ratios'!$B$50</f>
        <v>0.20734455763105997</v>
      </c>
      <c r="C52" s="78">
        <f>+'P&amp;L-SOFP-Ratios'!C55/'P&amp;L-SOFP-Ratios'!$C$50</f>
        <v>0.1812157376881042</v>
      </c>
      <c r="D52" s="78">
        <f>+'P&amp;L-SOFP-Ratios'!D55/'P&amp;L-SOFP-Ratios'!$D$50</f>
        <v>0.15045652492149</v>
      </c>
      <c r="E52" s="78">
        <f>+'P&amp;L-SOFP-Ratios'!E55/'P&amp;L-SOFP-Ratios'!$E$50</f>
        <v>0.13661984905852823</v>
      </c>
      <c r="F52" s="78">
        <f>+'P&amp;L-SOFP-Ratios'!F55/'P&amp;L-SOFP-Ratios'!$F$50</f>
        <v>7.4168542557219011E-2</v>
      </c>
      <c r="G52" s="78">
        <f>+'P&amp;L-SOFP-Ratios'!G55/'P&amp;L-SOFP-Ratios'!$G$50</f>
        <v>8.4399786467044685E-2</v>
      </c>
      <c r="H52" s="78">
        <f>+'P&amp;L-SOFP-Ratios'!H55/'P&amp;L-SOFP-Ratios'!$H$50</f>
        <v>7.8423027474704893E-2</v>
      </c>
      <c r="I52" s="78">
        <f>+'P&amp;L-SOFP-Ratios'!I55/'P&amp;L-SOFP-Ratios'!$I$50</f>
        <v>7.1867909967720092E-2</v>
      </c>
      <c r="J52" s="78">
        <f>+'P&amp;L-SOFP-Ratios'!J55/'P&amp;L-SOFP-Ratios'!$J$50</f>
        <v>6.5699499643392709E-2</v>
      </c>
      <c r="K52" s="78">
        <f>+'P&amp;L-SOFP-Ratios'!K55/'P&amp;L-SOFP-Ratios'!$K$50</f>
        <v>6.1182120889519229E-2</v>
      </c>
      <c r="L52" s="13"/>
    </row>
    <row r="53" spans="1:17" x14ac:dyDescent="0.3">
      <c r="A53" s="79" t="s">
        <v>100</v>
      </c>
      <c r="B53" s="78">
        <f>+'P&amp;L-SOFP-Ratios'!B56/'P&amp;L-SOFP-Ratios'!$B$50</f>
        <v>4.9440488841875072E-4</v>
      </c>
      <c r="C53" s="62" t="s">
        <v>82</v>
      </c>
      <c r="D53" s="62" t="s">
        <v>82</v>
      </c>
      <c r="E53" s="62" t="s">
        <v>82</v>
      </c>
      <c r="F53" s="62" t="s">
        <v>82</v>
      </c>
      <c r="G53" s="62" t="s">
        <v>82</v>
      </c>
      <c r="H53" s="62" t="s">
        <v>82</v>
      </c>
      <c r="I53" s="62" t="s">
        <v>82</v>
      </c>
      <c r="J53" s="62" t="s">
        <v>82</v>
      </c>
      <c r="K53" s="62" t="s">
        <v>82</v>
      </c>
      <c r="L53" s="13"/>
    </row>
    <row r="54" spans="1:17" x14ac:dyDescent="0.3">
      <c r="A54" s="77" t="s">
        <v>89</v>
      </c>
      <c r="B54" s="78">
        <f>+'P&amp;L-SOFP-Ratios'!B57/'P&amp;L-SOFP-Ratios'!$B$50</f>
        <v>0.1317499326345867</v>
      </c>
      <c r="C54" s="78">
        <f>+'P&amp;L-SOFP-Ratios'!C57/'P&amp;L-SOFP-Ratios'!$C$50</f>
        <v>0.18635740456807448</v>
      </c>
      <c r="D54" s="78">
        <f>+'P&amp;L-SOFP-Ratios'!D57/'P&amp;L-SOFP-Ratios'!$D$50</f>
        <v>0.19521254952203418</v>
      </c>
      <c r="E54" s="78">
        <f>+'P&amp;L-SOFP-Ratios'!E57/'P&amp;L-SOFP-Ratios'!$E$50</f>
        <v>0.20017386864717607</v>
      </c>
      <c r="F54" s="78">
        <f>+'P&amp;L-SOFP-Ratios'!F57/'P&amp;L-SOFP-Ratios'!$F$50</f>
        <v>0.25411134963525006</v>
      </c>
      <c r="G54" s="78">
        <f>+'P&amp;L-SOFP-Ratios'!G57/'P&amp;L-SOFP-Ratios'!$G$50</f>
        <v>0.33770342218231381</v>
      </c>
      <c r="H54" s="78">
        <f>+'P&amp;L-SOFP-Ratios'!H57/'P&amp;L-SOFP-Ratios'!$H$50</f>
        <v>0.35889021964085943</v>
      </c>
      <c r="I54" s="78">
        <f>+'P&amp;L-SOFP-Ratios'!I57/'P&amp;L-SOFP-Ratios'!$I$50</f>
        <v>0.37675666809231001</v>
      </c>
      <c r="J54" s="78">
        <f>+'P&amp;L-SOFP-Ratios'!J57/'P&amp;L-SOFP-Ratios'!$J$50</f>
        <v>0.39153972397836284</v>
      </c>
      <c r="K54" s="78">
        <f>+'P&amp;L-SOFP-Ratios'!K57/'P&amp;L-SOFP-Ratios'!$K$50</f>
        <v>0.41330583220421435</v>
      </c>
      <c r="L54" s="13"/>
    </row>
    <row r="55" spans="1:17" x14ac:dyDescent="0.3">
      <c r="A55" s="77" t="s">
        <v>90</v>
      </c>
      <c r="B55" s="78">
        <f>+'P&amp;L-SOFP-Ratios'!B58/'P&amp;L-SOFP-Ratios'!$B$50</f>
        <v>4.3703184104461161E-3</v>
      </c>
      <c r="C55" s="78">
        <f>+'P&amp;L-SOFP-Ratios'!C58/'P&amp;L-SOFP-Ratios'!$C$50</f>
        <v>4.322357645076276E-3</v>
      </c>
      <c r="D55" s="78">
        <f>+'P&amp;L-SOFP-Ratios'!D58/'P&amp;L-SOFP-Ratios'!$D$50</f>
        <v>3.5886889242771431E-3</v>
      </c>
      <c r="E55" s="78">
        <f>+'P&amp;L-SOFP-Ratios'!E58/'P&amp;L-SOFP-Ratios'!$E$50</f>
        <v>4.9355068286178047E-3</v>
      </c>
      <c r="F55" s="78">
        <f>+'P&amp;L-SOFP-Ratios'!F58/'P&amp;L-SOFP-Ratios'!$F$50</f>
        <v>2.5627204162703052E-3</v>
      </c>
      <c r="G55" s="78">
        <f>+'P&amp;L-SOFP-Ratios'!G58/'P&amp;L-SOFP-Ratios'!$G$50</f>
        <v>3.484604196171295E-3</v>
      </c>
      <c r="H55" s="78">
        <f>+'P&amp;L-SOFP-Ratios'!H58/'P&amp;L-SOFP-Ratios'!$H$50</f>
        <v>3.765960695436468E-3</v>
      </c>
      <c r="I55" s="78">
        <f>+'P&amp;L-SOFP-Ratios'!I58/'P&amp;L-SOFP-Ratios'!$I$50</f>
        <v>3.9681389177905861E-3</v>
      </c>
      <c r="J55" s="78">
        <f>+'P&amp;L-SOFP-Ratios'!J58/'P&amp;L-SOFP-Ratios'!$J$50</f>
        <v>4.1766789125511549E-3</v>
      </c>
      <c r="K55" s="78">
        <f>+'P&amp;L-SOFP-Ratios'!K58/'P&amp;L-SOFP-Ratios'!$K$50</f>
        <v>4.4008658803499105E-3</v>
      </c>
      <c r="L55" s="13"/>
    </row>
    <row r="56" spans="1:17" x14ac:dyDescent="0.3">
      <c r="A56" s="77" t="s">
        <v>91</v>
      </c>
      <c r="B56" s="78">
        <f>+'P&amp;L-SOFP-Ratios'!B59/'P&amp;L-SOFP-Ratios'!$B$50</f>
        <v>0.25412206817338939</v>
      </c>
      <c r="C56" s="78">
        <f>+'P&amp;L-SOFP-Ratios'!C59/'P&amp;L-SOFP-Ratios'!$C$50</f>
        <v>0.25015836955809434</v>
      </c>
      <c r="D56" s="78">
        <f>+'P&amp;L-SOFP-Ratios'!D59/'P&amp;L-SOFP-Ratios'!$D$50</f>
        <v>0.23112784860064683</v>
      </c>
      <c r="E56" s="78">
        <f>+'P&amp;L-SOFP-Ratios'!E59/'P&amp;L-SOFP-Ratios'!$E$50</f>
        <v>0.22947982913720449</v>
      </c>
      <c r="F56" s="78">
        <f>+'P&amp;L-SOFP-Ratios'!F59/'P&amp;L-SOFP-Ratios'!$F$50</f>
        <v>0.14042287366258013</v>
      </c>
      <c r="G56" s="78">
        <f>+'P&amp;L-SOFP-Ratios'!G59/'P&amp;L-SOFP-Ratios'!$G$50</f>
        <v>0.17531603707866455</v>
      </c>
      <c r="H56" s="78">
        <f>+'P&amp;L-SOFP-Ratios'!H59/'P&amp;L-SOFP-Ratios'!$H$50</f>
        <v>0.18040438772671713</v>
      </c>
      <c r="I56" s="78">
        <f>+'P&amp;L-SOFP-Ratios'!I59/'P&amp;L-SOFP-Ratios'!$I$50</f>
        <v>0.18233205440616948</v>
      </c>
      <c r="J56" s="78">
        <f>+'P&amp;L-SOFP-Ratios'!J59/'P&amp;L-SOFP-Ratios'!$J$50</f>
        <v>0.18362533003400827</v>
      </c>
      <c r="K56" s="78">
        <f>+'P&amp;L-SOFP-Ratios'!K59/'P&amp;L-SOFP-Ratios'!$K$50</f>
        <v>0.19144886666851368</v>
      </c>
      <c r="L56" s="13"/>
    </row>
    <row r="57" spans="1:17" x14ac:dyDescent="0.3">
      <c r="A57" s="250" t="s">
        <v>115</v>
      </c>
      <c r="B57" s="251">
        <f>+'P&amp;L-SOFP-Ratios'!B60/'P&amp;L-SOFP-Ratios'!$B$50</f>
        <v>0.59808128173790087</v>
      </c>
      <c r="C57" s="251">
        <f>+'P&amp;L-SOFP-Ratios'!C60/'P&amp;L-SOFP-Ratios'!$C$50</f>
        <v>0.62205386945934926</v>
      </c>
      <c r="D57" s="251">
        <f>+'P&amp;L-SOFP-Ratios'!D60/'P&amp;L-SOFP-Ratios'!$D$50</f>
        <v>0.58038561196844818</v>
      </c>
      <c r="E57" s="251">
        <f>+'P&amp;L-SOFP-Ratios'!E60/'P&amp;L-SOFP-Ratios'!$E$50</f>
        <v>0.57120905367152663</v>
      </c>
      <c r="F57" s="251">
        <f>+'P&amp;L-SOFP-Ratios'!F60/'P&amp;L-SOFP-Ratios'!$F$50</f>
        <v>0.47126548627131953</v>
      </c>
      <c r="G57" s="251">
        <f>+'P&amp;L-SOFP-Ratios'!G60/'P&amp;L-SOFP-Ratios'!$G$50</f>
        <v>0.60090384992419432</v>
      </c>
      <c r="H57" s="251">
        <f>+'P&amp;L-SOFP-Ratios'!H60/'P&amp;L-SOFP-Ratios'!$H$50</f>
        <v>0.62148359553771793</v>
      </c>
      <c r="I57" s="251">
        <f>+'P&amp;L-SOFP-Ratios'!I60/'P&amp;L-SOFP-Ratios'!$I$50</f>
        <v>0.63492477138399017</v>
      </c>
      <c r="J57" s="251">
        <f>+'P&amp;L-SOFP-Ratios'!J60/'P&amp;L-SOFP-Ratios'!$J$50</f>
        <v>0.64504123256831503</v>
      </c>
      <c r="K57" s="251">
        <f>+'P&amp;L-SOFP-Ratios'!K60/'P&amp;L-SOFP-Ratios'!$K$50</f>
        <v>0.67033768564259721</v>
      </c>
      <c r="L57" s="13"/>
      <c r="M57" s="60">
        <f>SUM(B52:B56)</f>
        <v>0.59808128173790087</v>
      </c>
      <c r="N57" s="60">
        <f>SUM(C52:C56)</f>
        <v>0.62205386945934926</v>
      </c>
      <c r="O57" s="60">
        <f>SUM(D52:D56)</f>
        <v>0.58038561196844818</v>
      </c>
      <c r="P57" s="60">
        <f>SUM(E52:E56)</f>
        <v>0.57120905367152663</v>
      </c>
      <c r="Q57" s="60">
        <f>SUM(F52:F56)</f>
        <v>0.47126548627131948</v>
      </c>
    </row>
    <row r="58" spans="1:17" x14ac:dyDescent="0.3">
      <c r="A58" s="20"/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13"/>
      <c r="M58" s="60">
        <f>+B57-M57</f>
        <v>0</v>
      </c>
      <c r="N58" s="60">
        <f>+C57-N57</f>
        <v>0</v>
      </c>
      <c r="O58" s="60">
        <f>+D57-O57</f>
        <v>0</v>
      </c>
      <c r="P58" s="60">
        <f>+E57-P57</f>
        <v>0</v>
      </c>
      <c r="Q58" s="60">
        <f>+F57-Q57</f>
        <v>0</v>
      </c>
    </row>
    <row r="59" spans="1:17" x14ac:dyDescent="0.3">
      <c r="A59" s="21" t="s">
        <v>92</v>
      </c>
      <c r="B59" s="53"/>
      <c r="C59" s="53"/>
      <c r="D59" s="53"/>
      <c r="E59" s="53"/>
      <c r="F59" s="53"/>
      <c r="G59" s="53"/>
      <c r="H59" s="53"/>
      <c r="I59" s="53"/>
      <c r="J59" s="53"/>
      <c r="K59" s="53"/>
      <c r="L59" s="13"/>
    </row>
    <row r="60" spans="1:17" x14ac:dyDescent="0.3">
      <c r="A60" s="77" t="s">
        <v>93</v>
      </c>
      <c r="B60" s="62">
        <f>+'P&amp;L-SOFP-Ratios'!B63/'P&amp;L-SOFP-Ratios'!B50</f>
        <v>5.6569773599054962E-2</v>
      </c>
      <c r="C60" s="62">
        <f>+'P&amp;L-SOFP-Ratios'!C63/'P&amp;L-SOFP-Ratios'!C50</f>
        <v>3.5789532273640977E-2</v>
      </c>
      <c r="D60" s="62">
        <f>+'P&amp;L-SOFP-Ratios'!D63/'P&amp;L-SOFP-Ratios'!D50</f>
        <v>1.5287607121492809E-2</v>
      </c>
      <c r="E60" s="62">
        <f>+'P&amp;L-SOFP-Ratios'!E63/'P&amp;L-SOFP-Ratios'!E50</f>
        <v>6.354475894166111E-3</v>
      </c>
      <c r="F60" s="62">
        <f>+'P&amp;L-SOFP-Ratios'!F63/'P&amp;L-SOFP-Ratios'!F50</f>
        <v>9.3184492044457043E-2</v>
      </c>
      <c r="G60" s="62">
        <f>+'P&amp;L-SOFP-Ratios'!G63/'P&amp;L-SOFP-Ratios'!G50</f>
        <v>8.4028485043436851E-2</v>
      </c>
      <c r="H60" s="62">
        <f>+'P&amp;L-SOFP-Ratios'!H63/'P&amp;L-SOFP-Ratios'!H50</f>
        <v>6.8040829247344337E-2</v>
      </c>
      <c r="I60" s="62">
        <f>+'P&amp;L-SOFP-Ratios'!I63/'P&amp;L-SOFP-Ratios'!I50</f>
        <v>5.1390900624771189E-2</v>
      </c>
      <c r="J60" s="62">
        <f>+'P&amp;L-SOFP-Ratios'!J63/'P&amp;L-SOFP-Ratios'!J50</f>
        <v>3.5480449164886282E-2</v>
      </c>
      <c r="K60" s="62">
        <f>+'P&amp;L-SOFP-Ratios'!K63/'P&amp;L-SOFP-Ratios'!K50</f>
        <v>2.0678098989478377E-2</v>
      </c>
      <c r="L60" s="13"/>
    </row>
    <row r="61" spans="1:17" x14ac:dyDescent="0.3">
      <c r="A61" s="77" t="s">
        <v>94</v>
      </c>
      <c r="B61" s="62" t="s">
        <v>82</v>
      </c>
      <c r="C61" s="62" t="s">
        <v>82</v>
      </c>
      <c r="D61" s="78">
        <f>+'P&amp;L-SOFP-Ratios'!D64/'P&amp;L-SOFP-Ratios'!$D$50</f>
        <v>2.3291355142864571E-2</v>
      </c>
      <c r="E61" s="78">
        <f>+'P&amp;L-SOFP-Ratios'!E64/'P&amp;L-SOFP-Ratios'!$E$50</f>
        <v>2.1050511716663816E-2</v>
      </c>
      <c r="F61" s="78">
        <f>+'P&amp;L-SOFP-Ratios'!F64/'P&amp;L-SOFP-Ratios'!$F$50</f>
        <v>1.5534669504468536E-2</v>
      </c>
      <c r="G61" s="78">
        <f>+'P&amp;L-SOFP-Ratios'!G64/'P&amp;L-SOFP-Ratios'!$G$50</f>
        <v>1.8600770274161765E-2</v>
      </c>
      <c r="H61" s="78">
        <f>+'P&amp;L-SOFP-Ratios'!H64/'P&amp;L-SOFP-Ratios'!$H$50</f>
        <v>1.7813424600585076E-2</v>
      </c>
      <c r="I61" s="78">
        <f>+'P&amp;L-SOFP-Ratios'!I64/'P&amp;L-SOFP-Ratios'!$I$50</f>
        <v>1.6760710583273504E-2</v>
      </c>
      <c r="J61" s="78">
        <f>+'P&amp;L-SOFP-Ratios'!J64/'P&amp;L-SOFP-Ratios'!$J$50</f>
        <v>1.5880650530768363E-2</v>
      </c>
      <c r="K61" s="78">
        <f>+'P&amp;L-SOFP-Ratios'!K64/'P&amp;L-SOFP-Ratios'!$K$50</f>
        <v>1.5251142586877799E-2</v>
      </c>
      <c r="L61" s="13"/>
    </row>
    <row r="62" spans="1:17" x14ac:dyDescent="0.3">
      <c r="A62" s="77" t="s">
        <v>95</v>
      </c>
      <c r="B62" s="78">
        <f>+'P&amp;L-SOFP-Ratios'!B65/'P&amp;L-SOFP-Ratios'!$B$50</f>
        <v>1.625377154313206E-2</v>
      </c>
      <c r="C62" s="78">
        <f>+'P&amp;L-SOFP-Ratios'!C65/'P&amp;L-SOFP-Ratios'!$C$50</f>
        <v>2.4044834230928343E-2</v>
      </c>
      <c r="D62" s="78">
        <f>+'P&amp;L-SOFP-Ratios'!D65/'P&amp;L-SOFP-Ratios'!$D$50</f>
        <v>2.4018253801679244E-2</v>
      </c>
      <c r="E62" s="78">
        <f>+'P&amp;L-SOFP-Ratios'!E65/'P&amp;L-SOFP-Ratios'!$E$50</f>
        <v>2.0160878660475709E-2</v>
      </c>
      <c r="F62" s="78">
        <f>+'P&amp;L-SOFP-Ratios'!F65/'P&amp;L-SOFP-Ratios'!$F$50</f>
        <v>1.5340225257132314E-2</v>
      </c>
      <c r="G62" s="78">
        <f>+'P&amp;L-SOFP-Ratios'!G65/'P&amp;L-SOFP-Ratios'!$G$50</f>
        <v>1.4337982213420888E-2</v>
      </c>
      <c r="H62" s="78">
        <f>+'P&amp;L-SOFP-Ratios'!H65/'P&amp;L-SOFP-Ratios'!$H$50</f>
        <v>1.2613062014103201E-2</v>
      </c>
      <c r="I62" s="78">
        <f>+'P&amp;L-SOFP-Ratios'!I65/'P&amp;L-SOFP-Ratios'!$I$50</f>
        <v>1.0820330487116172E-2</v>
      </c>
      <c r="J62" s="78">
        <f>+'P&amp;L-SOFP-Ratios'!J65/'P&amp;L-SOFP-Ratios'!$J$50</f>
        <v>9.5605315269436525E-3</v>
      </c>
      <c r="K62" s="78">
        <f>+'P&amp;L-SOFP-Ratios'!K65/'P&amp;L-SOFP-Ratios'!$K$50</f>
        <v>8.3893040081535787E-3</v>
      </c>
      <c r="L62" s="13"/>
    </row>
    <row r="63" spans="1:17" x14ac:dyDescent="0.3">
      <c r="A63" s="77" t="s">
        <v>96</v>
      </c>
      <c r="B63" s="78">
        <f>+'P&amp;L-SOFP-Ratios'!B66/'P&amp;L-SOFP-Ratios'!$B$50</f>
        <v>1.0614192655677484E-2</v>
      </c>
      <c r="C63" s="78">
        <f>+'P&amp;L-SOFP-Ratios'!C66/'P&amp;L-SOFP-Ratios'!$C$50</f>
        <v>1.1254032722605998E-2</v>
      </c>
      <c r="D63" s="78">
        <f>+'P&amp;L-SOFP-Ratios'!D66/'P&amp;L-SOFP-Ratios'!$D$50</f>
        <v>1.4004009199000998E-2</v>
      </c>
      <c r="E63" s="78">
        <f>+'P&amp;L-SOFP-Ratios'!E66/'P&amp;L-SOFP-Ratios'!$E$50</f>
        <v>1.6734182035187308E-2</v>
      </c>
      <c r="F63" s="78">
        <f>+'P&amp;L-SOFP-Ratios'!F66/'P&amp;L-SOFP-Ratios'!$F$50</f>
        <v>7.0928406165749278E-3</v>
      </c>
      <c r="G63" s="78">
        <f>+'P&amp;L-SOFP-Ratios'!G66/'P&amp;L-SOFP-Ratios'!$G$50</f>
        <v>6.7729825756405347E-3</v>
      </c>
      <c r="H63" s="78">
        <f>+'P&amp;L-SOFP-Ratios'!H66/'P&amp;L-SOFP-Ratios'!$H$50</f>
        <v>6.8188002133248334E-3</v>
      </c>
      <c r="I63" s="78">
        <f>+'P&amp;L-SOFP-Ratios'!I66/'P&amp;L-SOFP-Ratios'!$I$50</f>
        <v>6.6834399159657115E-3</v>
      </c>
      <c r="J63" s="78">
        <f>+'P&amp;L-SOFP-Ratios'!J66/'P&amp;L-SOFP-Ratios'!$J$50</f>
        <v>6.21489059036868E-3</v>
      </c>
      <c r="K63" s="78">
        <f>+'P&amp;L-SOFP-Ratios'!K66/'P&amp;L-SOFP-Ratios'!$K$50</f>
        <v>5.5115426996945865E-3</v>
      </c>
      <c r="L63" s="13"/>
    </row>
    <row r="64" spans="1:17" x14ac:dyDescent="0.3">
      <c r="A64" s="28" t="s">
        <v>114</v>
      </c>
      <c r="B64" s="64">
        <f>+'P&amp;L-SOFP-Ratios'!B67/'P&amp;L-SOFP-Ratios'!$B$50</f>
        <v>8.3437737797864509E-2</v>
      </c>
      <c r="C64" s="64">
        <f>+'P&amp;L-SOFP-Ratios'!C67/'P&amp;L-SOFP-Ratios'!$C$50</f>
        <v>7.1088399227175317E-2</v>
      </c>
      <c r="D64" s="64">
        <f>+'P&amp;L-SOFP-Ratios'!D67/'P&amp;L-SOFP-Ratios'!$D$50</f>
        <v>7.6601225265037626E-2</v>
      </c>
      <c r="E64" s="64">
        <f>+'P&amp;L-SOFP-Ratios'!E67/'P&amp;L-SOFP-Ratios'!$E$50</f>
        <v>6.4300048306492941E-2</v>
      </c>
      <c r="F64" s="64">
        <f>+'P&amp;L-SOFP-Ratios'!F67/'P&amp;L-SOFP-Ratios'!$F$50</f>
        <v>0.13115222742263283</v>
      </c>
      <c r="G64" s="64">
        <f>+'P&amp;L-SOFP-Ratios'!G67/'P&amp;L-SOFP-Ratios'!$G$50</f>
        <v>0.12374022010666004</v>
      </c>
      <c r="H64" s="64">
        <f>+'P&amp;L-SOFP-Ratios'!H67/'P&amp;L-SOFP-Ratios'!$H$50</f>
        <v>0.10528611607535746</v>
      </c>
      <c r="I64" s="64">
        <f>+'P&amp;L-SOFP-Ratios'!I67/'P&amp;L-SOFP-Ratios'!$I$50</f>
        <v>8.5655381611126569E-2</v>
      </c>
      <c r="J64" s="64">
        <f>+'P&amp;L-SOFP-Ratios'!J67/'P&amp;L-SOFP-Ratios'!$J$50</f>
        <v>6.713652181296699E-2</v>
      </c>
      <c r="K64" s="64">
        <f>+'P&amp;L-SOFP-Ratios'!K67/'P&amp;L-SOFP-Ratios'!$K$50</f>
        <v>4.9830088284204335E-2</v>
      </c>
      <c r="L64" s="13"/>
      <c r="M64" s="45">
        <f>SUM(B60:B63)</f>
        <v>8.3437737797864509E-2</v>
      </c>
      <c r="N64" s="45">
        <f>SUM(C60:C63)</f>
        <v>7.1088399227175317E-2</v>
      </c>
      <c r="O64" s="45">
        <f>SUM(D60:D63)</f>
        <v>7.6601225265037612E-2</v>
      </c>
      <c r="P64" s="45">
        <f>SUM(E60:E63)</f>
        <v>6.4300048306492941E-2</v>
      </c>
      <c r="Q64" s="45">
        <f>SUM(F60:F63)</f>
        <v>0.13115222742263283</v>
      </c>
    </row>
    <row r="65" spans="1:17" x14ac:dyDescent="0.3">
      <c r="A65" s="20"/>
      <c r="B65" s="50"/>
      <c r="C65" s="50"/>
      <c r="D65" s="50"/>
      <c r="E65" s="50"/>
      <c r="F65" s="50"/>
      <c r="G65" s="50"/>
      <c r="H65" s="50"/>
      <c r="I65" s="50"/>
      <c r="J65" s="50"/>
      <c r="K65" s="50"/>
      <c r="L65" s="13"/>
      <c r="M65" s="45">
        <f>+B64-M64</f>
        <v>0</v>
      </c>
      <c r="N65" s="45">
        <f>+C64-N64</f>
        <v>0</v>
      </c>
      <c r="O65" s="45">
        <f>+D64-O64</f>
        <v>0</v>
      </c>
      <c r="P65" s="45">
        <f>+E64-P64</f>
        <v>0</v>
      </c>
      <c r="Q65" s="45">
        <f>+F64-Q64</f>
        <v>0</v>
      </c>
    </row>
    <row r="66" spans="1:17" x14ac:dyDescent="0.3">
      <c r="A66" s="21" t="s">
        <v>97</v>
      </c>
      <c r="B66" s="53"/>
      <c r="C66" s="53"/>
      <c r="D66" s="53"/>
      <c r="E66" s="53"/>
      <c r="F66" s="53"/>
      <c r="G66" s="53"/>
      <c r="H66" s="53"/>
      <c r="I66" s="53"/>
      <c r="J66" s="53"/>
      <c r="K66" s="53"/>
      <c r="L66" s="13"/>
    </row>
    <row r="67" spans="1:17" x14ac:dyDescent="0.3">
      <c r="A67" s="77" t="s">
        <v>93</v>
      </c>
      <c r="B67" s="78">
        <f>+'P&amp;L-SOFP-Ratios'!B69/'P&amp;L-SOFP-Ratios'!$B$50</f>
        <v>8.839563799237575E-2</v>
      </c>
      <c r="C67" s="78">
        <f>+'P&amp;L-SOFP-Ratios'!C69/'P&amp;L-SOFP-Ratios'!$C$50</f>
        <v>9.6787799444213424E-2</v>
      </c>
      <c r="D67" s="78">
        <f>+'P&amp;L-SOFP-Ratios'!D69/'P&amp;L-SOFP-Ratios'!$D$50</f>
        <v>0.12988824883515038</v>
      </c>
      <c r="E67" s="78">
        <f>+'P&amp;L-SOFP-Ratios'!E69/'P&amp;L-SOFP-Ratios'!$E$50</f>
        <v>9.9947140355619773E-2</v>
      </c>
      <c r="F67" s="78">
        <f>+'P&amp;L-SOFP-Ratios'!F69/'P&amp;L-SOFP-Ratios'!$F$50</f>
        <v>9.8733833357473294E-2</v>
      </c>
      <c r="G67" s="78">
        <f>+'P&amp;L-SOFP-Ratios'!G69/'P&amp;L-SOFP-Ratios'!$G$50</f>
        <v>7.2741806946932594E-2</v>
      </c>
      <c r="H67" s="78">
        <f>+'P&amp;L-SOFP-Ratios'!H69/'P&amp;L-SOFP-Ratios'!$H$50</f>
        <v>5.890160774719462E-2</v>
      </c>
      <c r="I67" s="78">
        <f>+'P&amp;L-SOFP-Ratios'!I69/'P&amp;L-SOFP-Ratios'!$I$50</f>
        <v>4.4488091986231583E-2</v>
      </c>
      <c r="J67" s="78">
        <f>+'P&amp;L-SOFP-Ratios'!J69/'P&amp;L-SOFP-Ratios'!$J$50</f>
        <v>3.0714727062001214E-2</v>
      </c>
      <c r="K67" s="78">
        <f>+'P&amp;L-SOFP-Ratios'!K69/'P&amp;L-SOFP-Ratios'!$K$50</f>
        <v>1.7900623627150381E-2</v>
      </c>
      <c r="L67" s="13"/>
    </row>
    <row r="68" spans="1:17" x14ac:dyDescent="0.3">
      <c r="A68" s="77" t="s">
        <v>94</v>
      </c>
      <c r="B68" s="62" t="s">
        <v>82</v>
      </c>
      <c r="C68" s="62" t="s">
        <v>82</v>
      </c>
      <c r="D68" s="78">
        <f>+'P&amp;L-SOFP-Ratios'!D70/'P&amp;L-SOFP-Ratios'!$D$50</f>
        <v>4.4899408967857682E-4</v>
      </c>
      <c r="E68" s="78">
        <f>+'P&amp;L-SOFP-Ratios'!E70/'P&amp;L-SOFP-Ratios'!$E$50</f>
        <v>4.3933409645780576E-4</v>
      </c>
      <c r="F68" s="78">
        <f>+'P&amp;L-SOFP-Ratios'!F70/'P&amp;L-SOFP-Ratios'!$F$50</f>
        <v>7.1878922308704033E-4</v>
      </c>
      <c r="G68" s="78">
        <f>+'P&amp;L-SOFP-Ratios'!G70/'P&amp;L-SOFP-Ratios'!$G$50</f>
        <v>5.3307052006900128E-4</v>
      </c>
      <c r="H68" s="78">
        <f>+'P&amp;L-SOFP-Ratios'!H70/'P&amp;L-SOFP-Ratios'!$H$50</f>
        <v>5.6689601392636332E-4</v>
      </c>
      <c r="I68" s="78">
        <f>+'P&amp;L-SOFP-Ratios'!I70/'P&amp;L-SOFP-Ratios'!$I$50</f>
        <v>5.9546979595202245E-4</v>
      </c>
      <c r="J68" s="78">
        <f>+'P&amp;L-SOFP-Ratios'!J70/'P&amp;L-SOFP-Ratios'!$J$50</f>
        <v>5.0811424214376808E-4</v>
      </c>
      <c r="K68" s="78">
        <f>+'P&amp;L-SOFP-Ratios'!K70/'P&amp;L-SOFP-Ratios'!$K$50</f>
        <v>5.0501192102930478E-4</v>
      </c>
      <c r="L68" s="13"/>
    </row>
    <row r="69" spans="1:17" x14ac:dyDescent="0.3">
      <c r="A69" s="77" t="s">
        <v>98</v>
      </c>
      <c r="B69" s="62">
        <f>+'P&amp;L-SOFP-Ratios'!B71/'P&amp;L-SOFP-Ratios'!B50</f>
        <v>7.4863521148241935E-4</v>
      </c>
      <c r="C69" s="62" t="s">
        <v>82</v>
      </c>
      <c r="D69" s="62">
        <f>+'P&amp;L-SOFP-Ratios'!D71/'P&amp;L-SOFP-Ratios'!D50</f>
        <v>3.3970894308623465E-3</v>
      </c>
      <c r="E69" s="62">
        <f>+'P&amp;L-SOFP-Ratios'!E71/'P&amp;L-SOFP-Ratios'!E50</f>
        <v>4.0650703219126299E-3</v>
      </c>
      <c r="F69" s="62">
        <f>+'P&amp;L-SOFP-Ratios'!F71/'P&amp;L-SOFP-Ratios'!F50</f>
        <v>3.8856291826654772E-3</v>
      </c>
      <c r="G69" s="78">
        <f>+'P&amp;L-SOFP-Ratios'!G71/'P&amp;L-SOFP-Ratios'!$G$50</f>
        <v>2.6384623218746821E-3</v>
      </c>
      <c r="H69" s="78">
        <f>+'P&amp;L-SOFP-Ratios'!H71/'P&amp;L-SOFP-Ratios'!$H$50</f>
        <v>2.7952843234463187E-3</v>
      </c>
      <c r="I69" s="78">
        <f>+'P&amp;L-SOFP-Ratios'!I71/'P&amp;L-SOFP-Ratios'!$I$50</f>
        <v>2.9448500438009925E-3</v>
      </c>
      <c r="J69" s="78">
        <f>+'P&amp;L-SOFP-Ratios'!J71/'P&amp;L-SOFP-Ratios'!$J$50</f>
        <v>3.1090178987294411E-3</v>
      </c>
      <c r="K69" s="78">
        <f>+'P&amp;L-SOFP-Ratios'!K71/'P&amp;L-SOFP-Ratios'!$K$50</f>
        <v>3.0542368417565665E-3</v>
      </c>
      <c r="L69" s="13"/>
    </row>
    <row r="70" spans="1:17" x14ac:dyDescent="0.3">
      <c r="A70" s="77" t="s">
        <v>10</v>
      </c>
      <c r="B70" s="78">
        <f>+'P&amp;L-SOFP-Ratios'!B72/'P&amp;L-SOFP-Ratios'!$B$50</f>
        <v>0.22933670726037642</v>
      </c>
      <c r="C70" s="78">
        <f>+'P&amp;L-SOFP-Ratios'!C72/'P&amp;L-SOFP-Ratios'!$C$50</f>
        <v>0.21006993186926198</v>
      </c>
      <c r="D70" s="78">
        <f>+'P&amp;L-SOFP-Ratios'!D72/'P&amp;L-SOFP-Ratios'!$D$50</f>
        <v>0.2092788304108229</v>
      </c>
      <c r="E70" s="78">
        <f>+'P&amp;L-SOFP-Ratios'!E72/'P&amp;L-SOFP-Ratios'!$E$50</f>
        <v>0.26003935324799027</v>
      </c>
      <c r="F70" s="78">
        <f>+'P&amp;L-SOFP-Ratios'!F72/'P&amp;L-SOFP-Ratios'!$F$50</f>
        <v>0.29424403454282183</v>
      </c>
      <c r="G70" s="78">
        <f>+'P&amp;L-SOFP-Ratios'!G72/'P&amp;L-SOFP-Ratios'!$G$50</f>
        <v>0.19944259018026947</v>
      </c>
      <c r="H70" s="78">
        <f>+'P&amp;L-SOFP-Ratios'!H72/'P&amp;L-SOFP-Ratios'!$H$50</f>
        <v>0.21096650030235747</v>
      </c>
      <c r="I70" s="78">
        <f>+'P&amp;L-SOFP-Ratios'!I72/'P&amp;L-SOFP-Ratios'!$I$50</f>
        <v>0.23139143517889874</v>
      </c>
      <c r="J70" s="78">
        <f>+'P&amp;L-SOFP-Ratios'!J72/'P&amp;L-SOFP-Ratios'!$J$50</f>
        <v>0.2534903864158437</v>
      </c>
      <c r="K70" s="78">
        <f>+'P&amp;L-SOFP-Ratios'!K72/'P&amp;L-SOFP-Ratios'!$K$50</f>
        <v>0.25837235368326211</v>
      </c>
      <c r="L70" s="13"/>
      <c r="M70" s="60">
        <f>SUM(B67:B70)</f>
        <v>0.31848098046423456</v>
      </c>
      <c r="N70" s="60">
        <f>SUM(C67:C70)</f>
        <v>0.30685773131347538</v>
      </c>
      <c r="O70" s="60">
        <f>SUM(D67:D70)</f>
        <v>0.34301316276651417</v>
      </c>
      <c r="P70" s="60">
        <f>SUM(E67:E70)</f>
        <v>0.36449089802198048</v>
      </c>
      <c r="Q70" s="60">
        <f>SUM(F67:F70)</f>
        <v>0.39758228630604764</v>
      </c>
    </row>
    <row r="71" spans="1:17" x14ac:dyDescent="0.3">
      <c r="A71" s="28" t="s">
        <v>113</v>
      </c>
      <c r="B71" s="64">
        <f>+'P&amp;L-SOFP-Ratios'!B73/'P&amp;L-SOFP-Ratios'!$B$50</f>
        <v>0.31848098046423456</v>
      </c>
      <c r="C71" s="64">
        <f>+'P&amp;L-SOFP-Ratios'!C73/'P&amp;L-SOFP-Ratios'!$C$50</f>
        <v>0.30685773131347543</v>
      </c>
      <c r="D71" s="64">
        <f>+'P&amp;L-SOFP-Ratios'!D73/'P&amp;L-SOFP-Ratios'!$D$50</f>
        <v>0.34301316276651422</v>
      </c>
      <c r="E71" s="64">
        <f>+'P&amp;L-SOFP-Ratios'!E73/'P&amp;L-SOFP-Ratios'!$E$50</f>
        <v>0.36449089802198048</v>
      </c>
      <c r="F71" s="64">
        <f>+'P&amp;L-SOFP-Ratios'!F73/'P&amp;L-SOFP-Ratios'!$F$50</f>
        <v>0.39758228630604764</v>
      </c>
      <c r="G71" s="78">
        <f>+'P&amp;L-SOFP-Ratios'!G73/'P&amp;L-SOFP-Ratios'!$G$50</f>
        <v>0.27535592996914571</v>
      </c>
      <c r="H71" s="78">
        <f>+'P&amp;L-SOFP-Ratios'!H73/'P&amp;L-SOFP-Ratios'!$H$50</f>
        <v>0.27323028838692476</v>
      </c>
      <c r="I71" s="78">
        <f>+'P&amp;L-SOFP-Ratios'!I73/'P&amp;L-SOFP-Ratios'!$I$50</f>
        <v>0.27941984700488331</v>
      </c>
      <c r="J71" s="78">
        <f>+'P&amp;L-SOFP-Ratios'!J73/'P&amp;L-SOFP-Ratios'!$J$50</f>
        <v>0.28782224561871811</v>
      </c>
      <c r="K71" s="78">
        <f>+'P&amp;L-SOFP-Ratios'!K73/'P&amp;L-SOFP-Ratios'!$K$50</f>
        <v>0.27983222607319835</v>
      </c>
      <c r="L71" s="13"/>
      <c r="M71" s="60">
        <f>+B71-M70</f>
        <v>0</v>
      </c>
      <c r="N71" s="60">
        <f>+C71-N70</f>
        <v>0</v>
      </c>
      <c r="O71" s="60">
        <f>+D71-O70</f>
        <v>0</v>
      </c>
      <c r="P71" s="60">
        <f>+E71-P70</f>
        <v>0</v>
      </c>
      <c r="Q71" s="60">
        <f>+F71-Q70</f>
        <v>0</v>
      </c>
    </row>
    <row r="72" spans="1:17" x14ac:dyDescent="0.3">
      <c r="A72" s="28"/>
      <c r="B72" s="80"/>
      <c r="C72" s="80"/>
      <c r="D72" s="80"/>
      <c r="E72" s="80"/>
      <c r="F72" s="80"/>
      <c r="G72" s="80"/>
      <c r="H72" s="80"/>
      <c r="I72" s="80"/>
      <c r="J72" s="80"/>
      <c r="K72" s="80"/>
      <c r="L72" s="13"/>
    </row>
    <row r="73" spans="1:17" x14ac:dyDescent="0.3">
      <c r="A73" s="28" t="s">
        <v>11</v>
      </c>
      <c r="B73" s="64">
        <f>+'P&amp;L-SOFP-Ratios'!B75/'P&amp;L-SOFP-Ratios'!$B$50</f>
        <v>0.40191871826209907</v>
      </c>
      <c r="C73" s="64">
        <f>+'P&amp;L-SOFP-Ratios'!C75/'P&amp;L-SOFP-Ratios'!$C$50</f>
        <v>0.37794613054065074</v>
      </c>
      <c r="D73" s="64">
        <f>+'P&amp;L-SOFP-Ratios'!D75/'P&amp;L-SOFP-Ratios'!$D$50</f>
        <v>0.41961438803155182</v>
      </c>
      <c r="E73" s="64">
        <f>+'P&amp;L-SOFP-Ratios'!E75/'P&amp;L-SOFP-Ratios'!$E$50</f>
        <v>0.42879094632847342</v>
      </c>
      <c r="F73" s="64">
        <f>+'P&amp;L-SOFP-Ratios'!F75/'P&amp;L-SOFP-Ratios'!$F$50</f>
        <v>0.52873451372868052</v>
      </c>
      <c r="G73" s="64">
        <f>+'P&amp;L-SOFP-Ratios'!G75/'P&amp;L-SOFP-Ratios'!$G$50</f>
        <v>0.39909615007580573</v>
      </c>
      <c r="H73" s="64">
        <f>+'P&amp;L-SOFP-Ratios'!H75/'P&amp;L-SOFP-Ratios'!$H$50</f>
        <v>0.37851640446228219</v>
      </c>
      <c r="I73" s="64">
        <f>+'P&amp;L-SOFP-Ratios'!I75/'P&amp;L-SOFP-Ratios'!$I$50</f>
        <v>0.36507522861600994</v>
      </c>
      <c r="J73" s="64">
        <f>+'P&amp;L-SOFP-Ratios'!J75/'P&amp;L-SOFP-Ratios'!$J$50</f>
        <v>0.35495876743168514</v>
      </c>
      <c r="K73" s="64">
        <f>+'P&amp;L-SOFP-Ratios'!K75/'P&amp;L-SOFP-Ratios'!$K$50</f>
        <v>0.32966231435740267</v>
      </c>
      <c r="L73" s="13"/>
    </row>
    <row r="74" spans="1:17" x14ac:dyDescent="0.3">
      <c r="A74" s="252" t="s">
        <v>12</v>
      </c>
      <c r="B74" s="253">
        <f>+'P&amp;L-SOFP-Ratios'!B76/'P&amp;L-SOFP-Ratios'!$B$50</f>
        <v>1</v>
      </c>
      <c r="C74" s="253">
        <f>+'P&amp;L-SOFP-Ratios'!C76/'P&amp;L-SOFP-Ratios'!$C$50</f>
        <v>1</v>
      </c>
      <c r="D74" s="253">
        <f>+'P&amp;L-SOFP-Ratios'!D76/'P&amp;L-SOFP-Ratios'!$D$50</f>
        <v>1</v>
      </c>
      <c r="E74" s="253">
        <f>+'P&amp;L-SOFP-Ratios'!E76/'P&amp;L-SOFP-Ratios'!$E$50</f>
        <v>1</v>
      </c>
      <c r="F74" s="253">
        <f>+'P&amp;L-SOFP-Ratios'!F76/'P&amp;L-SOFP-Ratios'!$F$50</f>
        <v>1</v>
      </c>
      <c r="G74" s="251">
        <f>+'P&amp;L-SOFP-Ratios'!G76/'P&amp;L-SOFP-Ratios'!$G$50</f>
        <v>1</v>
      </c>
      <c r="H74" s="251">
        <f>+'P&amp;L-SOFP-Ratios'!H76/'P&amp;L-SOFP-Ratios'!$H$50</f>
        <v>1.0000000000000002</v>
      </c>
      <c r="I74" s="251">
        <f>+'P&amp;L-SOFP-Ratios'!I76/'P&amp;L-SOFP-Ratios'!$I$50</f>
        <v>1</v>
      </c>
      <c r="J74" s="251">
        <f>+'P&amp;L-SOFP-Ratios'!J76/'P&amp;L-SOFP-Ratios'!$J$50</f>
        <v>1</v>
      </c>
      <c r="K74" s="251">
        <f>+'P&amp;L-SOFP-Ratios'!K76/'P&amp;L-SOFP-Ratios'!$K$50</f>
        <v>1</v>
      </c>
      <c r="L74" s="13"/>
    </row>
    <row r="75" spans="1:17" x14ac:dyDescent="0.3">
      <c r="E75" s="46"/>
      <c r="F75" s="46"/>
      <c r="G75" s="46"/>
      <c r="H75" s="46"/>
      <c r="I75" s="46"/>
      <c r="J75" s="46"/>
      <c r="K75" s="46"/>
      <c r="L75" s="13"/>
    </row>
    <row r="76" spans="1:17" x14ac:dyDescent="0.3">
      <c r="A76" s="13"/>
      <c r="B76" s="41"/>
      <c r="C76" s="41"/>
      <c r="D76" s="41"/>
      <c r="E76" s="41"/>
      <c r="F76" s="41"/>
      <c r="G76" s="41"/>
      <c r="H76" s="41"/>
      <c r="I76" s="41"/>
      <c r="J76" s="41"/>
      <c r="K76" s="41"/>
      <c r="L76" s="13"/>
    </row>
    <row r="77" spans="1:17" x14ac:dyDescent="0.3">
      <c r="A77" s="13"/>
      <c r="B77" s="41"/>
      <c r="C77" s="41"/>
      <c r="D77" s="41"/>
      <c r="E77" s="55"/>
      <c r="F77" s="55"/>
      <c r="G77" s="55"/>
      <c r="H77" s="55"/>
      <c r="I77" s="55"/>
      <c r="J77" s="55"/>
      <c r="K77" s="55"/>
      <c r="L77" s="13"/>
    </row>
    <row r="78" spans="1:17" ht="15.6" x14ac:dyDescent="0.3">
      <c r="A78" s="10" t="s">
        <v>74</v>
      </c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13"/>
    </row>
    <row r="79" spans="1:17" ht="15.6" x14ac:dyDescent="0.3">
      <c r="A79" s="10" t="s">
        <v>63</v>
      </c>
      <c r="B79" s="43"/>
      <c r="C79" s="43"/>
      <c r="D79" s="43"/>
      <c r="E79" s="44"/>
      <c r="F79" s="44"/>
      <c r="G79" s="44"/>
      <c r="H79" s="44"/>
      <c r="I79" s="44"/>
      <c r="J79" s="44"/>
      <c r="K79" s="44"/>
      <c r="L79" s="13"/>
    </row>
    <row r="80" spans="1:17" ht="15.6" x14ac:dyDescent="0.3">
      <c r="A80" s="10" t="s">
        <v>126</v>
      </c>
      <c r="B80" s="43"/>
      <c r="C80" s="43"/>
      <c r="D80" s="43"/>
      <c r="E80" s="44"/>
      <c r="F80" s="44"/>
      <c r="G80" s="44"/>
      <c r="H80" s="44"/>
      <c r="I80" s="44"/>
      <c r="J80" s="44"/>
      <c r="K80" s="44"/>
      <c r="L80" s="13"/>
    </row>
    <row r="81" spans="1:19" x14ac:dyDescent="0.3">
      <c r="B81" s="7">
        <v>2018</v>
      </c>
      <c r="C81" s="7">
        <v>2019</v>
      </c>
      <c r="D81" s="7">
        <v>2020</v>
      </c>
      <c r="E81" s="8">
        <v>2021</v>
      </c>
      <c r="F81" s="8">
        <v>2022</v>
      </c>
      <c r="G81" s="8"/>
      <c r="H81" s="8"/>
      <c r="I81" s="8"/>
      <c r="J81" s="8"/>
      <c r="K81" s="8"/>
      <c r="L81" s="13"/>
    </row>
    <row r="82" spans="1:19" x14ac:dyDescent="0.3">
      <c r="A82" t="s">
        <v>64</v>
      </c>
      <c r="B82" s="78">
        <f>'P&amp;L-SOFP-Ratios'!B5/'P&amp;L-SOFP-Ratios'!$B$5</f>
        <v>1</v>
      </c>
      <c r="C82" s="78">
        <f>'P&amp;L-SOFP-Ratios'!C5/'P&amp;L-SOFP-Ratios'!$B$5</f>
        <v>1.2880254571987215</v>
      </c>
      <c r="D82" s="78">
        <f>'P&amp;L-SOFP-Ratios'!D5/'P&amp;L-SOFP-Ratios'!$B$5</f>
        <v>1.3501163282846511</v>
      </c>
      <c r="E82" s="78">
        <f>'P&amp;L-SOFP-Ratios'!E5/'P&amp;L-SOFP-Ratios'!$B$5</f>
        <v>1.2893925336326364</v>
      </c>
      <c r="F82" s="78">
        <f>'P&amp;L-SOFP-Ratios'!F5/'P&amp;L-SOFP-Ratios'!$B$5</f>
        <v>2.0118871342994469</v>
      </c>
      <c r="G82" s="78">
        <f>'P&amp;L-SOFP-Ratios'!G5/'P&amp;L-SOFP-Ratios'!$B$5</f>
        <v>2.244582000252521</v>
      </c>
      <c r="H82" s="78">
        <f>'P&amp;L-SOFP-Ratios'!H5/'P&amp;L-SOFP-Ratios'!$B$5</f>
        <v>2.5345640380291448</v>
      </c>
      <c r="I82" s="78">
        <f>'P&amp;L-SOFP-Ratios'!I5/'P&amp;L-SOFP-Ratios'!$B$5</f>
        <v>2.9021528742901266</v>
      </c>
      <c r="J82" s="78">
        <f>'P&amp;L-SOFP-Ratios'!J5/'P&amp;L-SOFP-Ratios'!$B$5</f>
        <v>3.3735683716116971</v>
      </c>
      <c r="K82" s="78">
        <f>'P&amp;L-SOFP-Ratios'!K5/'P&amp;L-SOFP-Ratios'!$B$5</f>
        <v>3.8764452116783081</v>
      </c>
      <c r="L82" s="13"/>
    </row>
    <row r="83" spans="1:19" x14ac:dyDescent="0.3">
      <c r="A83" t="s">
        <v>65</v>
      </c>
      <c r="B83" s="50">
        <f>'P&amp;L-SOFP-Ratios'!B6/'P&amp;L-SOFP-Ratios'!$B$6</f>
        <v>1</v>
      </c>
      <c r="C83" s="50">
        <f>'P&amp;L-SOFP-Ratios'!C6/'P&amp;L-SOFP-Ratios'!$B$6</f>
        <v>1.2909532993419437</v>
      </c>
      <c r="D83" s="50">
        <f>'P&amp;L-SOFP-Ratios'!D6/'P&amp;L-SOFP-Ratios'!$B$6</f>
        <v>1.3363796368368124</v>
      </c>
      <c r="E83" s="50">
        <f>'P&amp;L-SOFP-Ratios'!E6/'P&amp;L-SOFP-Ratios'!$B$6</f>
        <v>1.2877234011748739</v>
      </c>
      <c r="F83" s="50">
        <f>'P&amp;L-SOFP-Ratios'!F6/'P&amp;L-SOFP-Ratios'!$B$6</f>
        <v>2.0707455168635271</v>
      </c>
      <c r="G83" s="50">
        <f>'P&amp;L-SOFP-Ratios'!G6/'P&amp;L-SOFP-Ratios'!$B$6</f>
        <v>2.2535870270277636</v>
      </c>
      <c r="H83" s="50">
        <f>'P&amp;L-SOFP-Ratios'!H6/'P&amp;L-SOFP-Ratios'!$B$6</f>
        <v>2.5467661230624126</v>
      </c>
      <c r="I83" s="50">
        <f>'P&amp;L-SOFP-Ratios'!I6/'P&amp;L-SOFP-Ratios'!$B$6</f>
        <v>2.9175995933337626</v>
      </c>
      <c r="J83" s="50">
        <f>'P&amp;L-SOFP-Ratios'!J6/'P&amp;L-SOFP-Ratios'!$B$6</f>
        <v>3.4019802079962327</v>
      </c>
      <c r="K83" s="50">
        <f>'P&amp;L-SOFP-Ratios'!K6/'P&amp;L-SOFP-Ratios'!$B$6</f>
        <v>3.9166252460540538</v>
      </c>
      <c r="L83" s="13"/>
    </row>
    <row r="84" spans="1:19" x14ac:dyDescent="0.3">
      <c r="A84" s="9" t="s">
        <v>66</v>
      </c>
      <c r="B84" s="56">
        <f>'P&amp;L-SOFP-Ratios'!B7/'P&amp;L-SOFP-Ratios'!$B$7</f>
        <v>1</v>
      </c>
      <c r="C84" s="56">
        <f>'P&amp;L-SOFP-Ratios'!C7/'P&amp;L-SOFP-Ratios'!$B$7</f>
        <v>1.2661649031893731</v>
      </c>
      <c r="D84" s="56">
        <f>'P&amp;L-SOFP-Ratios'!D7/'P&amp;L-SOFP-Ratios'!$B$7</f>
        <v>1.4526804935011313</v>
      </c>
      <c r="E84" s="56">
        <f>'P&amp;L-SOFP-Ratios'!E7/'P&amp;L-SOFP-Ratios'!$B$7</f>
        <v>1.3018550088812204</v>
      </c>
      <c r="F84" s="56">
        <f>'P&amp;L-SOFP-Ratios'!F7/'P&amp;L-SOFP-Ratios'!$B$7</f>
        <v>1.5724246264168131</v>
      </c>
      <c r="G84" s="56">
        <f>'P&amp;L-SOFP-Ratios'!G7/'P&amp;L-SOFP-Ratios'!$B$7</f>
        <v>2.1773465194628479</v>
      </c>
      <c r="H84" s="56">
        <f>'P&amp;L-SOFP-Ratios'!H7/'P&amp;L-SOFP-Ratios'!$B$7</f>
        <v>2.4434579176005231</v>
      </c>
      <c r="I84" s="56">
        <f>'P&amp;L-SOFP-Ratios'!I7/'P&amp;L-SOFP-Ratios'!$B$7</f>
        <v>2.7868208927820715</v>
      </c>
      <c r="J84" s="56">
        <f>'P&amp;L-SOFP-Ratios'!J7/'P&amp;L-SOFP-Ratios'!$B$7</f>
        <v>3.1614331356917278</v>
      </c>
      <c r="K84" s="56">
        <f>'P&amp;L-SOFP-Ratios'!K7/'P&amp;L-SOFP-Ratios'!$B$7</f>
        <v>3.5764434463502979</v>
      </c>
      <c r="L84" s="13"/>
    </row>
    <row r="85" spans="1:19" x14ac:dyDescent="0.3">
      <c r="A85" t="s">
        <v>67</v>
      </c>
      <c r="B85" s="50">
        <f>'P&amp;L-SOFP-Ratios'!B8/'P&amp;L-SOFP-Ratios'!$B$8</f>
        <v>1</v>
      </c>
      <c r="C85" s="50">
        <f>'P&amp;L-SOFP-Ratios'!C8/'P&amp;L-SOFP-Ratios'!$B$8</f>
        <v>1.0359354542660721</v>
      </c>
      <c r="D85" s="50">
        <f>'P&amp;L-SOFP-Ratios'!D8/'P&amp;L-SOFP-Ratios'!$B$8</f>
        <v>0.72669520958840095</v>
      </c>
      <c r="E85" s="50">
        <f>'P&amp;L-SOFP-Ratios'!E8/'P&amp;L-SOFP-Ratios'!$B$8</f>
        <v>0.78161296976892025</v>
      </c>
      <c r="F85" s="50">
        <f>'P&amp;L-SOFP-Ratios'!F8/'P&amp;L-SOFP-Ratios'!$B$8</f>
        <v>0.637719597367989</v>
      </c>
      <c r="G85" s="50">
        <f>'P&amp;L-SOFP-Ratios'!G8/'P&amp;L-SOFP-Ratios'!$B$8</f>
        <v>1.4660222467207789</v>
      </c>
      <c r="H85" s="50">
        <f>'P&amp;L-SOFP-Ratios'!H8/'P&amp;L-SOFP-Ratios'!$B$8</f>
        <v>1.4795919037771266</v>
      </c>
      <c r="I85" s="50">
        <f>'P&amp;L-SOFP-Ratios'!I8/'P&amp;L-SOFP-Ratios'!$B$8</f>
        <v>1.5661834942701456</v>
      </c>
      <c r="J85" s="50">
        <f>'P&amp;L-SOFP-Ratios'!J8/'P&amp;L-SOFP-Ratios'!$B$8</f>
        <v>1.8215444093362811</v>
      </c>
      <c r="K85" s="50">
        <f>'P&amp;L-SOFP-Ratios'!K8/'P&amp;L-SOFP-Ratios'!$B$8</f>
        <v>2.0417147111040186</v>
      </c>
      <c r="L85" s="13"/>
      <c r="O85" s="40"/>
      <c r="P85" s="40"/>
      <c r="Q85" s="40"/>
      <c r="R85" s="40"/>
      <c r="S85" s="40"/>
    </row>
    <row r="86" spans="1:19" x14ac:dyDescent="0.3">
      <c r="A86" t="s">
        <v>68</v>
      </c>
      <c r="B86" s="50">
        <f>'P&amp;L-SOFP-Ratios'!B9/'P&amp;L-SOFP-Ratios'!$B$9</f>
        <v>1</v>
      </c>
      <c r="C86" s="50">
        <f>'P&amp;L-SOFP-Ratios'!C9/'P&amp;L-SOFP-Ratios'!$B$9</f>
        <v>1.2159901172493011</v>
      </c>
      <c r="D86" s="50">
        <f>'P&amp;L-SOFP-Ratios'!D9/'P&amp;L-SOFP-Ratios'!$B$9</f>
        <v>1.4098090635226805</v>
      </c>
      <c r="E86" s="50">
        <f>'P&amp;L-SOFP-Ratios'!E9/'P&amp;L-SOFP-Ratios'!$B$9</f>
        <v>1.2835439197243232</v>
      </c>
      <c r="F86" s="50">
        <f>'P&amp;L-SOFP-Ratios'!F9/'P&amp;L-SOFP-Ratios'!$B$9</f>
        <v>2.669476893290855</v>
      </c>
      <c r="G86" s="50">
        <f>'P&amp;L-SOFP-Ratios'!G9/'P&amp;L-SOFP-Ratios'!$B$9</f>
        <v>2.3840164862543634</v>
      </c>
      <c r="H86" s="50">
        <f>'P&amp;L-SOFP-Ratios'!H9/'P&amp;L-SOFP-Ratios'!$B$9</f>
        <v>2.7235020053700159</v>
      </c>
      <c r="I86" s="50">
        <f>'P&amp;L-SOFP-Ratios'!I9/'P&amp;L-SOFP-Ratios'!$B$9</f>
        <v>3.1942222476876903</v>
      </c>
      <c r="J86" s="50">
        <f>'P&amp;L-SOFP-Ratios'!J9/'P&amp;L-SOFP-Ratios'!$B$9</f>
        <v>3.7511517481254981</v>
      </c>
      <c r="K86" s="50">
        <f>'P&amp;L-SOFP-Ratios'!K9/'P&amp;L-SOFP-Ratios'!$B$9</f>
        <v>4.4006027367553591</v>
      </c>
      <c r="L86" s="13"/>
    </row>
    <row r="87" spans="1:19" x14ac:dyDescent="0.3">
      <c r="A87" t="s">
        <v>1</v>
      </c>
      <c r="B87" s="50">
        <f>'P&amp;L-SOFP-Ratios'!B10/'P&amp;L-SOFP-Ratios'!$B$10</f>
        <v>1</v>
      </c>
      <c r="C87" s="50">
        <f>'P&amp;L-SOFP-Ratios'!C10/'P&amp;L-SOFP-Ratios'!$B$10</f>
        <v>1.1803111538336484</v>
      </c>
      <c r="D87" s="50">
        <f>'P&amp;L-SOFP-Ratios'!D10/'P&amp;L-SOFP-Ratios'!$B$10</f>
        <v>1.1912026218224534</v>
      </c>
      <c r="E87" s="50">
        <f>'P&amp;L-SOFP-Ratios'!E10/'P&amp;L-SOFP-Ratios'!$B$10</f>
        <v>1.160548275031243</v>
      </c>
      <c r="F87" s="50">
        <f>'P&amp;L-SOFP-Ratios'!F10/'P&amp;L-SOFP-Ratios'!$B$10</f>
        <v>1.4535849553678246</v>
      </c>
      <c r="G87" s="50">
        <f>'P&amp;L-SOFP-Ratios'!G10/'P&amp;L-SOFP-Ratios'!$B$10</f>
        <v>1.9847674839190697</v>
      </c>
      <c r="H87" s="50">
        <f>'P&amp;L-SOFP-Ratios'!H10/'P&amp;L-SOFP-Ratios'!$B$10</f>
        <v>2.1825074700360219</v>
      </c>
      <c r="I87" s="50">
        <f>'P&amp;L-SOFP-Ratios'!I10/'P&amp;L-SOFP-Ratios'!$B$10</f>
        <v>2.4669542442133778</v>
      </c>
      <c r="J87" s="50">
        <f>'P&amp;L-SOFP-Ratios'!J10/'P&amp;L-SOFP-Ratios'!$B$10</f>
        <v>2.8459157607347878</v>
      </c>
      <c r="K87" s="50">
        <f>'P&amp;L-SOFP-Ratios'!K10/'P&amp;L-SOFP-Ratios'!$B$10</f>
        <v>3.2263491954685128</v>
      </c>
      <c r="L87" s="13"/>
    </row>
    <row r="88" spans="1:19" x14ac:dyDescent="0.3">
      <c r="A88" t="s">
        <v>69</v>
      </c>
      <c r="B88" s="78" t="s">
        <v>101</v>
      </c>
      <c r="C88" s="78" t="s">
        <v>101</v>
      </c>
      <c r="D88" s="78" t="s">
        <v>101</v>
      </c>
      <c r="E88" s="78" t="s">
        <v>101</v>
      </c>
      <c r="F88" s="78" t="s">
        <v>101</v>
      </c>
      <c r="G88" s="78" t="s">
        <v>101</v>
      </c>
      <c r="H88" s="78" t="s">
        <v>101</v>
      </c>
      <c r="I88" s="78" t="s">
        <v>101</v>
      </c>
      <c r="J88" s="78" t="s">
        <v>101</v>
      </c>
      <c r="K88" s="78" t="s">
        <v>101</v>
      </c>
      <c r="L88" s="13"/>
    </row>
    <row r="89" spans="1:19" x14ac:dyDescent="0.3">
      <c r="A89" s="1" t="s">
        <v>70</v>
      </c>
      <c r="B89" s="64">
        <f>'P&amp;L-SOFP-Ratios'!B12/'P&amp;L-SOFP-Ratios'!$B$12</f>
        <v>1</v>
      </c>
      <c r="C89" s="64">
        <f>'P&amp;L-SOFP-Ratios'!C12/'P&amp;L-SOFP-Ratios'!$B$12</f>
        <v>1.2947838629764497</v>
      </c>
      <c r="D89" s="64">
        <f>'P&amp;L-SOFP-Ratios'!D12/'P&amp;L-SOFP-Ratios'!$B$12</f>
        <v>1.5067195260547304</v>
      </c>
      <c r="E89" s="64">
        <f>'P&amp;L-SOFP-Ratios'!E12/'P&amp;L-SOFP-Ratios'!$B$12</f>
        <v>1.3482137039012791</v>
      </c>
      <c r="F89" s="64">
        <f>'P&amp;L-SOFP-Ratios'!F12/'P&amp;L-SOFP-Ratios'!$B$12</f>
        <v>1.4209428542081528</v>
      </c>
      <c r="G89" s="64">
        <f>'P&amp;L-SOFP-Ratios'!G12/'P&amp;L-SOFP-Ratios'!$B$12</f>
        <v>2.1885654321631107</v>
      </c>
      <c r="H89" s="64">
        <f>'P&amp;L-SOFP-Ratios'!H12/'P&amp;L-SOFP-Ratios'!$B$12</f>
        <v>2.458652049280087</v>
      </c>
      <c r="I89" s="64">
        <f>'P&amp;L-SOFP-Ratios'!I12/'P&amp;L-SOFP-Ratios'!$B$12</f>
        <v>2.7946983284242513</v>
      </c>
      <c r="J89" s="64">
        <f>'P&amp;L-SOFP-Ratios'!J12/'P&amp;L-SOFP-Ratios'!$B$12</f>
        <v>3.1438561784547603</v>
      </c>
      <c r="K89" s="64">
        <f>'P&amp;L-SOFP-Ratios'!K12/'P&amp;L-SOFP-Ratios'!$B$12</f>
        <v>3.5256015131944247</v>
      </c>
      <c r="L89" s="13"/>
    </row>
    <row r="90" spans="1:19" x14ac:dyDescent="0.3">
      <c r="A90" t="s">
        <v>0</v>
      </c>
      <c r="B90" s="50">
        <f>'P&amp;L-SOFP-Ratios'!B13/'P&amp;L-SOFP-Ratios'!$B$13</f>
        <v>1</v>
      </c>
      <c r="C90" s="50">
        <f>'P&amp;L-SOFP-Ratios'!C13/'P&amp;L-SOFP-Ratios'!$B$13</f>
        <v>0.95862536101677376</v>
      </c>
      <c r="D90" s="50">
        <f>'P&amp;L-SOFP-Ratios'!D13/'P&amp;L-SOFP-Ratios'!$B$13</f>
        <v>2.2938088563176757</v>
      </c>
      <c r="E90" s="50">
        <f>'P&amp;L-SOFP-Ratios'!E13/'P&amp;L-SOFP-Ratios'!$B$13</f>
        <v>2.6038928662144745</v>
      </c>
      <c r="F90" s="50">
        <f>'P&amp;L-SOFP-Ratios'!F13/'P&amp;L-SOFP-Ratios'!$B$13</f>
        <v>4.1378213872451717</v>
      </c>
      <c r="G90" s="50">
        <f>'P&amp;L-SOFP-Ratios'!G13/'P&amp;L-SOFP-Ratios'!$B$13</f>
        <v>1.8830679987348053</v>
      </c>
      <c r="H90" s="50">
        <f>'P&amp;L-SOFP-Ratios'!H13/'P&amp;L-SOFP-Ratios'!$B$13</f>
        <v>2.0890519080808279</v>
      </c>
      <c r="I90" s="50">
        <f>'P&amp;L-SOFP-Ratios'!I13/'P&amp;L-SOFP-Ratios'!$B$13</f>
        <v>2.2228633690788566</v>
      </c>
      <c r="J90" s="50">
        <f>'P&amp;L-SOFP-Ratios'!J13/'P&amp;L-SOFP-Ratios'!$B$13</f>
        <v>2.1979377509341047</v>
      </c>
      <c r="K90" s="50">
        <f>'P&amp;L-SOFP-Ratios'!K13/'P&amp;L-SOFP-Ratios'!$B$13</f>
        <v>2.1173440358648494</v>
      </c>
      <c r="L90" s="13"/>
    </row>
    <row r="91" spans="1:19" x14ac:dyDescent="0.3">
      <c r="A91" t="s">
        <v>71</v>
      </c>
      <c r="B91" s="50">
        <f>'P&amp;L-SOFP-Ratios'!B14/'P&amp;L-SOFP-Ratios'!$B$14</f>
        <v>1</v>
      </c>
      <c r="C91" s="50">
        <f>'P&amp;L-SOFP-Ratios'!C14/'P&amp;L-SOFP-Ratios'!$B$14</f>
        <v>1.9058567936996469</v>
      </c>
      <c r="D91" s="50">
        <f>'P&amp;L-SOFP-Ratios'!D14/'P&amp;L-SOFP-Ratios'!$B$14</f>
        <v>1.6122225239632682</v>
      </c>
      <c r="E91" s="50">
        <f>'P&amp;L-SOFP-Ratios'!E14/'P&amp;L-SOFP-Ratios'!$B$14</f>
        <v>1.1954075012823995</v>
      </c>
      <c r="F91" s="50">
        <f>'P&amp;L-SOFP-Ratios'!F14/'P&amp;L-SOFP-Ratios'!$B$14</f>
        <v>1.5008700200154894</v>
      </c>
      <c r="G91" s="50">
        <f>'P&amp;L-SOFP-Ratios'!G14/'P&amp;L-SOFP-Ratios'!$B$14</f>
        <v>3.1796685308717203</v>
      </c>
      <c r="H91" s="50">
        <f>'P&amp;L-SOFP-Ratios'!H14/'P&amp;L-SOFP-Ratios'!$B$14</f>
        <v>2.8949060944244862</v>
      </c>
      <c r="I91" s="50">
        <f>'P&amp;L-SOFP-Ratios'!I14/'P&amp;L-SOFP-Ratios'!$B$14</f>
        <v>2.5584227242838735</v>
      </c>
      <c r="J91" s="50">
        <f>'P&amp;L-SOFP-Ratios'!J14/'P&amp;L-SOFP-Ratios'!$B$14</f>
        <v>2.1579899412251167</v>
      </c>
      <c r="K91" s="50">
        <f>'P&amp;L-SOFP-Ratios'!K14/'P&amp;L-SOFP-Ratios'!$B$14</f>
        <v>1.7039587511804144</v>
      </c>
      <c r="L91" s="13"/>
    </row>
    <row r="92" spans="1:19" x14ac:dyDescent="0.3">
      <c r="A92" t="s">
        <v>72</v>
      </c>
      <c r="B92" s="50">
        <f>'P&amp;L-SOFP-Ratios'!B15/'P&amp;L-SOFP-Ratios'!$B$15</f>
        <v>1</v>
      </c>
      <c r="C92" s="50">
        <f>'P&amp;L-SOFP-Ratios'!C15/'P&amp;L-SOFP-Ratios'!$B$15</f>
        <v>-12.74178062263602</v>
      </c>
      <c r="D92" s="50">
        <f>'P&amp;L-SOFP-Ratios'!D15/'P&amp;L-SOFP-Ratios'!$B$15</f>
        <v>12.152022112307245</v>
      </c>
      <c r="E92" s="50">
        <f>'P&amp;L-SOFP-Ratios'!E15/'P&amp;L-SOFP-Ratios'!$B$15</f>
        <v>22.975705557171953</v>
      </c>
      <c r="F92" s="50">
        <f>'P&amp;L-SOFP-Ratios'!F15/'P&amp;L-SOFP-Ratios'!$B$15</f>
        <v>42.27771312190864</v>
      </c>
      <c r="G92" s="50">
        <f>'P&amp;L-SOFP-Ratios'!G15/'P&amp;L-SOFP-Ratios'!$B$15</f>
        <v>-16.870483747940852</v>
      </c>
      <c r="H92" s="50">
        <f>'P&amp;L-SOFP-Ratios'!H15/'P&amp;L-SOFP-Ratios'!$B$15</f>
        <v>-9.5665257423185821</v>
      </c>
      <c r="I92" s="50">
        <f>'P&amp;L-SOFP-Ratios'!I15/'P&amp;L-SOFP-Ratios'!$B$15</f>
        <v>-2.6305433479052023</v>
      </c>
      <c r="J92" s="50">
        <f>'P&amp;L-SOFP-Ratios'!J15/'P&amp;L-SOFP-Ratios'!$B$15</f>
        <v>2.7757281327637142</v>
      </c>
      <c r="K92" s="50">
        <f>'P&amp;L-SOFP-Ratios'!K15/'P&amp;L-SOFP-Ratios'!$B$15</f>
        <v>8.0963962848000506</v>
      </c>
      <c r="L92" s="13"/>
    </row>
    <row r="93" spans="1:19" x14ac:dyDescent="0.3">
      <c r="A93" s="9" t="s">
        <v>2</v>
      </c>
      <c r="B93" s="49">
        <f>'P&amp;L-SOFP-Ratios'!B16/'P&amp;L-SOFP-Ratios'!$B$16</f>
        <v>1</v>
      </c>
      <c r="C93" s="49">
        <f>'P&amp;L-SOFP-Ratios'!C16/'P&amp;L-SOFP-Ratios'!$B$16</f>
        <v>1.241702224109817</v>
      </c>
      <c r="D93" s="49">
        <f>'P&amp;L-SOFP-Ratios'!D16/'P&amp;L-SOFP-Ratios'!$B$16</f>
        <v>1.5469765353883664</v>
      </c>
      <c r="E93" s="49">
        <f>'P&amp;L-SOFP-Ratios'!E16/'P&amp;L-SOFP-Ratios'!$B$16</f>
        <v>1.4300017164397518</v>
      </c>
      <c r="F93" s="49">
        <f>'P&amp;L-SOFP-Ratios'!F16/'P&amp;L-SOFP-Ratios'!$B$16</f>
        <v>1.5754496301952561</v>
      </c>
      <c r="G93" s="49">
        <f>'P&amp;L-SOFP-Ratios'!G16/'P&amp;L-SOFP-Ratios'!$B$16</f>
        <v>2.1164904193095988</v>
      </c>
      <c r="H93" s="49">
        <f>'P&amp;L-SOFP-Ratios'!H16/'P&amp;L-SOFP-Ratios'!$B$16</f>
        <v>2.4131768088467913</v>
      </c>
      <c r="I93" s="49">
        <f>'P&amp;L-SOFP-Ratios'!I16/'P&amp;L-SOFP-Ratios'!$B$16</f>
        <v>2.7741818608995725</v>
      </c>
      <c r="J93" s="49">
        <f>'P&amp;L-SOFP-Ratios'!J16/'P&amp;L-SOFP-Ratios'!$B$16</f>
        <v>3.1424640400865664</v>
      </c>
      <c r="K93" s="49">
        <f>'P&amp;L-SOFP-Ratios'!K16/'P&amp;L-SOFP-Ratios'!$B$16</f>
        <v>3.5428867454639414</v>
      </c>
      <c r="L93" s="13"/>
    </row>
    <row r="94" spans="1:19" x14ac:dyDescent="0.3">
      <c r="A94" t="s">
        <v>73</v>
      </c>
      <c r="B94" s="50">
        <f>'P&amp;L-SOFP-Ratios'!B17/'P&amp;L-SOFP-Ratios'!$B$17</f>
        <v>1</v>
      </c>
      <c r="C94" s="50">
        <f>'P&amp;L-SOFP-Ratios'!C17/'P&amp;L-SOFP-Ratios'!$B$17</f>
        <v>1.7975695165206089</v>
      </c>
      <c r="D94" s="50">
        <f>'P&amp;L-SOFP-Ratios'!D17/'P&amp;L-SOFP-Ratios'!$B$17</f>
        <v>1.9322027779532676</v>
      </c>
      <c r="E94" s="50">
        <f>'P&amp;L-SOFP-Ratios'!E17/'P&amp;L-SOFP-Ratios'!$B$17</f>
        <v>2.0745977021868032</v>
      </c>
      <c r="F94" s="50">
        <f>'P&amp;L-SOFP-Ratios'!F17/'P&amp;L-SOFP-Ratios'!$B$17</f>
        <v>1.5003023438416621</v>
      </c>
      <c r="G94" s="50">
        <f>'P&amp;L-SOFP-Ratios'!G17/'P&amp;L-SOFP-Ratios'!$B$17</f>
        <v>2.1022937680309322</v>
      </c>
      <c r="H94" s="50">
        <f>'P&amp;L-SOFP-Ratios'!H17/'P&amp;L-SOFP-Ratios'!$B$17</f>
        <v>2.5981931896233363</v>
      </c>
      <c r="I94" s="50">
        <f>'P&amp;L-SOFP-Ratios'!I17/'P&amp;L-SOFP-Ratios'!$B$17</f>
        <v>3.2430492233448565</v>
      </c>
      <c r="J94" s="50">
        <f>'P&amp;L-SOFP-Ratios'!J17/'P&amp;L-SOFP-Ratios'!$B$17</f>
        <v>3.5612633261955415</v>
      </c>
      <c r="K94" s="50">
        <f>'P&amp;L-SOFP-Ratios'!K17/'P&amp;L-SOFP-Ratios'!$B$17</f>
        <v>3.7761306723011754</v>
      </c>
      <c r="L94" s="13"/>
    </row>
    <row r="95" spans="1:19" x14ac:dyDescent="0.3">
      <c r="A95" s="1" t="s">
        <v>3</v>
      </c>
      <c r="B95" s="368">
        <f>'P&amp;L-SOFP-Ratios'!B18/'P&amp;L-SOFP-Ratios'!$B$18</f>
        <v>1</v>
      </c>
      <c r="C95" s="368">
        <f>'P&amp;L-SOFP-Ratios'!C18/'P&amp;L-SOFP-Ratios'!$B$18</f>
        <v>1.1645264686607599</v>
      </c>
      <c r="D95" s="368">
        <f>'P&amp;L-SOFP-Ratios'!D18/'P&amp;L-SOFP-Ratios'!$B$18</f>
        <v>1.4934923194709149</v>
      </c>
      <c r="E95" s="368">
        <f>'P&amp;L-SOFP-Ratios'!E18/'P&amp;L-SOFP-Ratios'!$B$18</f>
        <v>1.3405070063917741</v>
      </c>
      <c r="F95" s="368">
        <f>'P&amp;L-SOFP-Ratios'!F18/'P&amp;L-SOFP-Ratios'!$B$18</f>
        <v>1.5858829632469862</v>
      </c>
      <c r="G95" s="368">
        <f>'P&amp;L-SOFP-Ratios'!G18/'P&amp;L-SOFP-Ratios'!$B$18</f>
        <v>2.1184614604236138</v>
      </c>
      <c r="H95" s="368">
        <f>'P&amp;L-SOFP-Ratios'!H18/'P&amp;L-SOFP-Ratios'!$B$18</f>
        <v>2.3874894205945458</v>
      </c>
      <c r="I95" s="368">
        <f>'P&amp;L-SOFP-Ratios'!I18/'P&amp;L-SOFP-Ratios'!$B$18</f>
        <v>2.7090850412158911</v>
      </c>
      <c r="J95" s="368">
        <f>'P&amp;L-SOFP-Ratios'!J18/'P&amp;L-SOFP-Ratios'!$B$18</f>
        <v>3.0843185947109095</v>
      </c>
      <c r="K95" s="368">
        <f>'P&amp;L-SOFP-Ratios'!K18/'P&amp;L-SOFP-Ratios'!$B$18</f>
        <v>3.5105035192814857</v>
      </c>
      <c r="L95" s="13"/>
    </row>
    <row r="96" spans="1:19" x14ac:dyDescent="0.3">
      <c r="A96" t="s">
        <v>105</v>
      </c>
      <c r="B96" s="48">
        <f>'P&amp;L-SOFP-Ratios'!B19/'P&amp;L-SOFP-Ratios'!$B$19</f>
        <v>1</v>
      </c>
      <c r="C96" s="48">
        <f>'P&amp;L-SOFP-Ratios'!C19/'P&amp;L-SOFP-Ratios'!$B$19</f>
        <v>1.1645264686607599</v>
      </c>
      <c r="D96" s="48">
        <f>'P&amp;L-SOFP-Ratios'!D19/'P&amp;L-SOFP-Ratios'!$B$19</f>
        <v>1.4934923194709149</v>
      </c>
      <c r="E96" s="48">
        <f>'P&amp;L-SOFP-Ratios'!E19/'P&amp;L-SOFP-Ratios'!$B$19</f>
        <v>1.3405070063917741</v>
      </c>
      <c r="F96" s="48">
        <f>'P&amp;L-SOFP-Ratios'!F19/'P&amp;L-SOFP-Ratios'!$B$19</f>
        <v>1.5858829632469862</v>
      </c>
      <c r="G96" s="48">
        <f>'P&amp;L-SOFP-Ratios'!G19/'P&amp;L-SOFP-Ratios'!$B$19</f>
        <v>2.1184614604236138</v>
      </c>
      <c r="H96" s="48">
        <f>'P&amp;L-SOFP-Ratios'!H19/'P&amp;L-SOFP-Ratios'!$B$19</f>
        <v>2.3874894205945458</v>
      </c>
      <c r="I96" s="48">
        <f>'P&amp;L-SOFP-Ratios'!I19/'P&amp;L-SOFP-Ratios'!$B$19</f>
        <v>2.7090850412158911</v>
      </c>
      <c r="J96" s="48">
        <f>'P&amp;L-SOFP-Ratios'!J19/'P&amp;L-SOFP-Ratios'!$B$19</f>
        <v>3.0843185947109095</v>
      </c>
      <c r="K96" s="48">
        <f>'P&amp;L-SOFP-Ratios'!K19/'P&amp;L-SOFP-Ratios'!$B$19</f>
        <v>3.5105035192814857</v>
      </c>
      <c r="L96" s="13"/>
    </row>
    <row r="97" spans="1:12" ht="15.6" x14ac:dyDescent="0.3">
      <c r="A97" s="10" t="s">
        <v>74</v>
      </c>
      <c r="B97" s="42"/>
      <c r="C97" s="42"/>
      <c r="D97" s="42"/>
      <c r="E97" s="42"/>
      <c r="F97" s="42"/>
      <c r="G97" s="42"/>
      <c r="H97" s="42"/>
      <c r="I97" s="42"/>
      <c r="J97" s="42"/>
      <c r="K97" s="42"/>
      <c r="L97" s="13"/>
    </row>
    <row r="98" spans="1:12" ht="15.6" x14ac:dyDescent="0.3">
      <c r="A98" s="10" t="s">
        <v>75</v>
      </c>
      <c r="B98" s="42"/>
      <c r="C98" s="42"/>
      <c r="D98" s="42"/>
      <c r="E98" s="42"/>
      <c r="F98" s="42"/>
      <c r="G98" s="42"/>
      <c r="H98" s="42"/>
      <c r="I98" s="42"/>
      <c r="J98" s="42"/>
      <c r="K98" s="42"/>
      <c r="L98" s="13"/>
    </row>
    <row r="99" spans="1:12" ht="15.6" x14ac:dyDescent="0.3">
      <c r="A99" s="38"/>
      <c r="B99" s="57"/>
      <c r="C99" s="57"/>
      <c r="D99" s="57"/>
      <c r="E99" s="57"/>
      <c r="F99" s="57"/>
      <c r="G99" s="57"/>
      <c r="H99" s="57"/>
      <c r="I99" s="57"/>
      <c r="J99" s="57"/>
      <c r="K99" s="57"/>
      <c r="L99" s="13"/>
    </row>
    <row r="100" spans="1:12" x14ac:dyDescent="0.3">
      <c r="A100" s="1" t="s">
        <v>9</v>
      </c>
      <c r="B100" s="7">
        <v>2018</v>
      </c>
      <c r="C100" s="7">
        <v>2019</v>
      </c>
      <c r="D100" s="7">
        <v>2020</v>
      </c>
      <c r="E100" s="8">
        <v>2021</v>
      </c>
      <c r="F100" s="8">
        <v>2022</v>
      </c>
      <c r="G100" s="8">
        <v>2023</v>
      </c>
      <c r="H100" s="8">
        <v>2024</v>
      </c>
      <c r="I100" s="8">
        <v>2025</v>
      </c>
      <c r="J100" s="8">
        <v>2026</v>
      </c>
      <c r="K100" s="8">
        <v>2027</v>
      </c>
      <c r="L100" s="13"/>
    </row>
    <row r="101" spans="1:12" x14ac:dyDescent="0.3">
      <c r="A101" s="9" t="s">
        <v>76</v>
      </c>
      <c r="B101" s="47"/>
      <c r="C101" s="47"/>
      <c r="D101" s="47"/>
      <c r="E101" s="47"/>
      <c r="F101" s="47"/>
      <c r="G101" s="47"/>
      <c r="H101" s="47"/>
      <c r="I101" s="47"/>
      <c r="J101" s="47"/>
      <c r="K101" s="47"/>
      <c r="L101" s="13"/>
    </row>
    <row r="102" spans="1:12" x14ac:dyDescent="0.3">
      <c r="A102" s="20" t="s">
        <v>77</v>
      </c>
      <c r="B102" s="50">
        <f>'P&amp;L-SOFP-Ratios'!B33/'P&amp;L-SOFP-Ratios'!$B$33</f>
        <v>1</v>
      </c>
      <c r="C102" s="50">
        <f>'P&amp;L-SOFP-Ratios'!C33/'P&amp;L-SOFP-Ratios'!$B$33</f>
        <v>1.1160119614875141</v>
      </c>
      <c r="D102" s="50">
        <f>'P&amp;L-SOFP-Ratios'!D33/'P&amp;L-SOFP-Ratios'!$B$33</f>
        <v>1.1649908815557897</v>
      </c>
      <c r="E102" s="50">
        <f>'P&amp;L-SOFP-Ratios'!E33/'P&amp;L-SOFP-Ratios'!$B$33</f>
        <v>1.156173332731631</v>
      </c>
      <c r="F102" s="50">
        <f>'P&amp;L-SOFP-Ratios'!F33/'P&amp;L-SOFP-Ratios'!$B$33</f>
        <v>1.9531317276730846</v>
      </c>
      <c r="G102" s="50">
        <f>'P&amp;L-SOFP-Ratios'!G33/'P&amp;L-SOFP-Ratios'!$B$33</f>
        <v>1.9303301625266494</v>
      </c>
      <c r="H102" s="50">
        <f>'P&amp;L-SOFP-Ratios'!H33/'P&amp;L-SOFP-Ratios'!$B$33</f>
        <v>1.9128437740681716</v>
      </c>
      <c r="I102" s="50">
        <f>'P&amp;L-SOFP-Ratios'!I33/'P&amp;L-SOFP-Ratios'!$B$33</f>
        <v>1.8909264430090407</v>
      </c>
      <c r="J102" s="50">
        <f>'P&amp;L-SOFP-Ratios'!J33/'P&amp;L-SOFP-Ratios'!$B$33</f>
        <v>1.8736621119501895</v>
      </c>
      <c r="K102" s="50">
        <f>'P&amp;L-SOFP-Ratios'!K33/'P&amp;L-SOFP-Ratios'!$B$33</f>
        <v>1.8729187125742564</v>
      </c>
      <c r="L102" s="13"/>
    </row>
    <row r="103" spans="1:12" x14ac:dyDescent="0.3">
      <c r="A103" s="20" t="s">
        <v>78</v>
      </c>
      <c r="B103" s="50">
        <f>'P&amp;L-SOFP-Ratios'!B34/'P&amp;L-SOFP-Ratios'!$B$34</f>
        <v>1</v>
      </c>
      <c r="C103" s="50">
        <f>'P&amp;L-SOFP-Ratios'!C34/'P&amp;L-SOFP-Ratios'!$B$34</f>
        <v>1.7319952991296044</v>
      </c>
      <c r="D103" s="50">
        <f>'P&amp;L-SOFP-Ratios'!D34/'P&amp;L-SOFP-Ratios'!$B$34</f>
        <v>1.4272650482940983</v>
      </c>
      <c r="E103" s="50">
        <f>'P&amp;L-SOFP-Ratios'!E34/'P&amp;L-SOFP-Ratios'!$B$34</f>
        <v>2.3036468471115357</v>
      </c>
      <c r="F103" s="50">
        <f>'P&amp;L-SOFP-Ratios'!F34/'P&amp;L-SOFP-Ratios'!$B$34</f>
        <v>2.6330566675235962</v>
      </c>
      <c r="G103" s="50">
        <f>'P&amp;L-SOFP-Ratios'!G34/'P&amp;L-SOFP-Ratios'!$B$34</f>
        <v>2.7694676558954492</v>
      </c>
      <c r="H103" s="50">
        <f>'P&amp;L-SOFP-Ratios'!H34/'P&amp;L-SOFP-Ratios'!$B$34</f>
        <v>2.9778932916283809</v>
      </c>
      <c r="I103" s="50">
        <f>'P&amp;L-SOFP-Ratios'!I34/'P&amp;L-SOFP-Ratios'!$B$34</f>
        <v>3.0810542604466455</v>
      </c>
      <c r="J103" s="50">
        <f>'P&amp;L-SOFP-Ratios'!J34/'P&amp;L-SOFP-Ratios'!$B$34</f>
        <v>3.2657626454085107</v>
      </c>
      <c r="K103" s="50">
        <f>'P&amp;L-SOFP-Ratios'!K34/'P&amp;L-SOFP-Ratios'!$B$34</f>
        <v>3.312219660808374</v>
      </c>
      <c r="L103" s="13"/>
    </row>
    <row r="104" spans="1:12" x14ac:dyDescent="0.3">
      <c r="A104" s="77" t="s">
        <v>80</v>
      </c>
      <c r="B104" s="78">
        <f>'P&amp;L-SOFP-Ratios'!B36/'P&amp;L-SOFP-Ratios'!$B$36</f>
        <v>1</v>
      </c>
      <c r="C104" s="78">
        <f>'P&amp;L-SOFP-Ratios'!C36/'P&amp;L-SOFP-Ratios'!$B$36</f>
        <v>0.26791229605368233</v>
      </c>
      <c r="D104" s="78">
        <f>'P&amp;L-SOFP-Ratios'!D36/'P&amp;L-SOFP-Ratios'!$B$36</f>
        <v>1.3261116522435501</v>
      </c>
      <c r="E104" s="78">
        <f>'P&amp;L-SOFP-Ratios'!E36/'P&amp;L-SOFP-Ratios'!$B$36</f>
        <v>0.95667441248388785</v>
      </c>
      <c r="F104" s="78">
        <f>'P&amp;L-SOFP-Ratios'!F36/'P&amp;L-SOFP-Ratios'!$B$36</f>
        <v>11.852045143192642</v>
      </c>
      <c r="G104" s="78">
        <f>'P&amp;L-SOFP-Ratios'!G36/'P&amp;L-SOFP-Ratios'!$B$36</f>
        <v>11.854260124487956</v>
      </c>
      <c r="H104" s="78">
        <f>'P&amp;L-SOFP-Ratios'!H36/'P&amp;L-SOFP-Ratios'!$B$36</f>
        <v>11.808895085042778</v>
      </c>
      <c r="I104" s="78">
        <f>'P&amp;L-SOFP-Ratios'!I36/'P&amp;L-SOFP-Ratios'!$B$36</f>
        <v>11.900874578497826</v>
      </c>
      <c r="J104" s="78">
        <f>'P&amp;L-SOFP-Ratios'!J36/'P&amp;L-SOFP-Ratios'!$B$36</f>
        <v>11.788266713756441</v>
      </c>
      <c r="K104" s="78">
        <f>'P&amp;L-SOFP-Ratios'!K36/'P&amp;L-SOFP-Ratios'!$B$36</f>
        <v>11.727024724018712</v>
      </c>
      <c r="L104" s="13"/>
    </row>
    <row r="105" spans="1:12" x14ac:dyDescent="0.3">
      <c r="A105" s="77" t="s">
        <v>81</v>
      </c>
      <c r="B105" s="78" t="s">
        <v>101</v>
      </c>
      <c r="C105" s="78" t="s">
        <v>101</v>
      </c>
      <c r="D105" s="78" t="s">
        <v>101</v>
      </c>
      <c r="E105" s="78" t="s">
        <v>101</v>
      </c>
      <c r="F105" s="78" t="s">
        <v>101</v>
      </c>
      <c r="G105" s="78" t="s">
        <v>101</v>
      </c>
      <c r="H105" s="78" t="s">
        <v>101</v>
      </c>
      <c r="I105" s="78" t="s">
        <v>101</v>
      </c>
      <c r="J105" s="78" t="s">
        <v>101</v>
      </c>
      <c r="K105" s="78" t="s">
        <v>101</v>
      </c>
      <c r="L105" s="13"/>
    </row>
    <row r="106" spans="1:12" x14ac:dyDescent="0.3">
      <c r="A106" s="20" t="s">
        <v>83</v>
      </c>
      <c r="B106" s="62">
        <f>'P&amp;L-SOFP-Ratios'!B38/'P&amp;L-SOFP-Ratios'!$B$38</f>
        <v>1</v>
      </c>
      <c r="C106" s="62">
        <f>'P&amp;L-SOFP-Ratios'!C38/'P&amp;L-SOFP-Ratios'!$B$38</f>
        <v>0.88767090429359563</v>
      </c>
      <c r="D106" s="62">
        <f>'P&amp;L-SOFP-Ratios'!D38/'P&amp;L-SOFP-Ratios'!$B$38</f>
        <v>2.0489086111777404</v>
      </c>
      <c r="E106" s="62">
        <f>'P&amp;L-SOFP-Ratios'!E38/'P&amp;L-SOFP-Ratios'!$B$38</f>
        <v>2.1846006236507556</v>
      </c>
      <c r="F106" s="62">
        <f>'P&amp;L-SOFP-Ratios'!F38/'P&amp;L-SOFP-Ratios'!$B$38</f>
        <v>3.4511313664347965</v>
      </c>
      <c r="G106" s="62">
        <f>'P&amp;L-SOFP-Ratios'!G38/'P&amp;L-SOFP-Ratios'!$B$38</f>
        <v>2.3642162155489155</v>
      </c>
      <c r="H106" s="62">
        <f>'P&amp;L-SOFP-Ratios'!H38/'P&amp;L-SOFP-Ratios'!$B$38</f>
        <v>2.2382955398983873</v>
      </c>
      <c r="I106" s="62">
        <f>'P&amp;L-SOFP-Ratios'!I38/'P&amp;L-SOFP-Ratios'!$B$38</f>
        <v>2.0939835077666578</v>
      </c>
      <c r="J106" s="62">
        <f>'P&amp;L-SOFP-Ratios'!J38/'P&amp;L-SOFP-Ratios'!$B$38</f>
        <v>2.1416786968383197</v>
      </c>
      <c r="K106" s="62">
        <f>'P&amp;L-SOFP-Ratios'!K38/'P&amp;L-SOFP-Ratios'!$B$38</f>
        <v>2.0326716054358194</v>
      </c>
      <c r="L106" s="13"/>
    </row>
    <row r="107" spans="1:12" x14ac:dyDescent="0.3">
      <c r="A107" s="22" t="s">
        <v>129</v>
      </c>
      <c r="B107" s="63">
        <f>'P&amp;L-SOFP-Ratios'!B41/'P&amp;L-SOFP-Ratios'!$B$41</f>
        <v>1</v>
      </c>
      <c r="C107" s="63">
        <f>'P&amp;L-SOFP-Ratios'!C41/'P&amp;L-SOFP-Ratios'!$B$41</f>
        <v>1.0698447739831587</v>
      </c>
      <c r="D107" s="63">
        <f>'P&amp;L-SOFP-Ratios'!D41/'P&amp;L-SOFP-Ratios'!$B$41</f>
        <v>1.2650484800551274</v>
      </c>
      <c r="E107" s="63">
        <f>'P&amp;L-SOFP-Ratios'!E41/'P&amp;L-SOFP-Ratios'!$B$41</f>
        <v>1.244432708033643</v>
      </c>
      <c r="F107" s="63">
        <f>'P&amp;L-SOFP-Ratios'!F41/'P&amp;L-SOFP-Ratios'!$B$41</f>
        <v>2.6070909229042258</v>
      </c>
      <c r="G107" s="63">
        <f>'P&amp;L-SOFP-Ratios'!G41/'P&amp;L-SOFP-Ratios'!$B$41</f>
        <v>2.5892590419300481</v>
      </c>
      <c r="H107" s="63">
        <f>'P&amp;L-SOFP-Ratios'!H41/'P&amp;L-SOFP-Ratios'!$B$41</f>
        <v>2.5928976085463757</v>
      </c>
      <c r="I107" s="63">
        <f>'P&amp;L-SOFP-Ratios'!I41/'P&amp;L-SOFP-Ratios'!$B$41</f>
        <v>2.6064753699398828</v>
      </c>
      <c r="J107" s="63">
        <f>'P&amp;L-SOFP-Ratios'!J41/'P&amp;L-SOFP-Ratios'!$B$41</f>
        <v>2.6101958362693822</v>
      </c>
      <c r="K107" s="63">
        <f>'P&amp;L-SOFP-Ratios'!K41/'P&amp;L-SOFP-Ratios'!$B$41</f>
        <v>2.630013945427816</v>
      </c>
      <c r="L107" s="13"/>
    </row>
    <row r="108" spans="1:12" x14ac:dyDescent="0.3">
      <c r="A108" s="20"/>
      <c r="B108" s="62"/>
      <c r="C108" s="62"/>
      <c r="D108" s="62"/>
      <c r="E108" s="62"/>
      <c r="F108" s="62"/>
      <c r="G108" s="62"/>
      <c r="H108" s="62"/>
      <c r="I108" s="62"/>
      <c r="J108" s="62"/>
      <c r="K108" s="62"/>
      <c r="L108" s="13"/>
    </row>
    <row r="109" spans="1:12" x14ac:dyDescent="0.3">
      <c r="A109" s="21" t="s">
        <v>85</v>
      </c>
      <c r="B109" s="58"/>
      <c r="C109" s="58"/>
      <c r="D109" s="58"/>
      <c r="E109" s="58"/>
      <c r="F109" s="58"/>
      <c r="G109" s="58"/>
      <c r="H109" s="58"/>
      <c r="I109" s="58"/>
      <c r="J109" s="58"/>
      <c r="K109" s="58"/>
      <c r="L109" s="13"/>
    </row>
    <row r="110" spans="1:12" x14ac:dyDescent="0.3">
      <c r="A110" s="20" t="s">
        <v>5</v>
      </c>
      <c r="B110" s="50">
        <f>'P&amp;L-SOFP-Ratios'!B43/'P&amp;L-SOFP-Ratios'!$B$43</f>
        <v>1</v>
      </c>
      <c r="C110" s="50">
        <f>'P&amp;L-SOFP-Ratios'!C43/'P&amp;L-SOFP-Ratios'!$B$43</f>
        <v>1.0985560007107926</v>
      </c>
      <c r="D110" s="50">
        <f>'P&amp;L-SOFP-Ratios'!D43/'P&amp;L-SOFP-Ratios'!$B$43</f>
        <v>1.443126441658904</v>
      </c>
      <c r="E110" s="50">
        <f>'P&amp;L-SOFP-Ratios'!E43/'P&amp;L-SOFP-Ratios'!$B$43</f>
        <v>1.7795985390130591</v>
      </c>
      <c r="F110" s="50">
        <f>'P&amp;L-SOFP-Ratios'!F43/'P&amp;L-SOFP-Ratios'!$B$43</f>
        <v>3.9977876944383404</v>
      </c>
      <c r="G110" s="50">
        <f>'P&amp;L-SOFP-Ratios'!G43/'P&amp;L-SOFP-Ratios'!$B$43</f>
        <v>2.8140172980733289</v>
      </c>
      <c r="H110" s="50">
        <f>'P&amp;L-SOFP-Ratios'!H43/'P&amp;L-SOFP-Ratios'!$B$43</f>
        <v>3.2392611400202158</v>
      </c>
      <c r="I110" s="50">
        <f>'P&amp;L-SOFP-Ratios'!I43/'P&amp;L-SOFP-Ratios'!$B$43</f>
        <v>3.9007203470970393</v>
      </c>
      <c r="J110" s="50">
        <f>'P&amp;L-SOFP-Ratios'!J43/'P&amp;L-SOFP-Ratios'!$B$43</f>
        <v>4.7457349574134362</v>
      </c>
      <c r="K110" s="50">
        <f>'P&amp;L-SOFP-Ratios'!K43/'P&amp;L-SOFP-Ratios'!$B$43</f>
        <v>5.6257859022460623</v>
      </c>
      <c r="L110" s="15"/>
    </row>
    <row r="111" spans="1:12" x14ac:dyDescent="0.3">
      <c r="A111" s="20" t="s">
        <v>86</v>
      </c>
      <c r="B111" s="50">
        <f>'P&amp;L-SOFP-Ratios'!B44/'P&amp;L-SOFP-Ratios'!$B$44</f>
        <v>1</v>
      </c>
      <c r="C111" s="50">
        <f>'P&amp;L-SOFP-Ratios'!C44/'P&amp;L-SOFP-Ratios'!$B$44</f>
        <v>1.1482911789417294</v>
      </c>
      <c r="D111" s="50">
        <f>'P&amp;L-SOFP-Ratios'!D44/'P&amp;L-SOFP-Ratios'!$B$44</f>
        <v>1.1837341777947699</v>
      </c>
      <c r="E111" s="50">
        <f>'P&amp;L-SOFP-Ratios'!E44/'P&amp;L-SOFP-Ratios'!$B$44</f>
        <v>2.0549307245534068</v>
      </c>
      <c r="F111" s="50">
        <f>'P&amp;L-SOFP-Ratios'!F44/'P&amp;L-SOFP-Ratios'!$B$44</f>
        <v>3.8163307822447901</v>
      </c>
      <c r="G111" s="50">
        <f>'P&amp;L-SOFP-Ratios'!G44/'P&amp;L-SOFP-Ratios'!$B$44</f>
        <v>2.4477152250735101</v>
      </c>
      <c r="H111" s="50">
        <f>'P&amp;L-SOFP-Ratios'!H44/'P&amp;L-SOFP-Ratios'!$B$44</f>
        <v>2.8098157329116198</v>
      </c>
      <c r="I111" s="50">
        <f>'P&amp;L-SOFP-Ratios'!I44/'P&amp;L-SOFP-Ratios'!$B$44</f>
        <v>3.3433280333975959</v>
      </c>
      <c r="J111" s="50">
        <f>'P&amp;L-SOFP-Ratios'!J44/'P&amp;L-SOFP-Ratios'!$B$44</f>
        <v>4.0721227123291595</v>
      </c>
      <c r="K111" s="50">
        <f>'P&amp;L-SOFP-Ratios'!K44/'P&amp;L-SOFP-Ratios'!$B$44</f>
        <v>4.3793607540629091</v>
      </c>
      <c r="L111" s="15"/>
    </row>
    <row r="112" spans="1:12" x14ac:dyDescent="0.3">
      <c r="A112" s="20" t="s">
        <v>103</v>
      </c>
      <c r="B112" s="50">
        <f>'P&amp;L-SOFP-Ratios'!B47/'P&amp;L-SOFP-Ratios'!$B$47</f>
        <v>1</v>
      </c>
      <c r="C112" s="50">
        <f>'P&amp;L-SOFP-Ratios'!C47/'P&amp;L-SOFP-Ratios'!$B$47</f>
        <v>0.70102029699332891</v>
      </c>
      <c r="D112" s="50">
        <f>'P&amp;L-SOFP-Ratios'!D47/'P&amp;L-SOFP-Ratios'!$B$47</f>
        <v>1.2255535370886952</v>
      </c>
      <c r="E112" s="50">
        <f>'P&amp;L-SOFP-Ratios'!E47/'P&amp;L-SOFP-Ratios'!$B$47</f>
        <v>2.1277790868253232</v>
      </c>
      <c r="F112" s="50">
        <f>'P&amp;L-SOFP-Ratios'!F47/'P&amp;L-SOFP-Ratios'!$B$47</f>
        <v>2.3083313697620151</v>
      </c>
      <c r="G112" s="50">
        <f>'P&amp;L-SOFP-Ratios'!G47/'P&amp;L-SOFP-Ratios'!$B$47</f>
        <v>1.4725368581338725</v>
      </c>
      <c r="H112" s="50">
        <f>'P&amp;L-SOFP-Ratios'!H47/'P&amp;L-SOFP-Ratios'!$B$47</f>
        <v>1.5670442297606471</v>
      </c>
      <c r="I112" s="50">
        <f>'P&amp;L-SOFP-Ratios'!I47/'P&amp;L-SOFP-Ratios'!$B$47</f>
        <v>1.7402490163141109</v>
      </c>
      <c r="J112" s="50">
        <f>'P&amp;L-SOFP-Ratios'!J47/'P&amp;L-SOFP-Ratios'!$B$47</f>
        <v>1.8431881121591935</v>
      </c>
      <c r="K112" s="50">
        <f>'P&amp;L-SOFP-Ratios'!K47/'P&amp;L-SOFP-Ratios'!$B$47</f>
        <v>1.7862699172259677</v>
      </c>
      <c r="L112" s="13"/>
    </row>
    <row r="113" spans="1:12" x14ac:dyDescent="0.3">
      <c r="A113" s="20" t="s">
        <v>6</v>
      </c>
      <c r="B113" s="50">
        <f>'P&amp;L-SOFP-Ratios'!B48/'P&amp;L-SOFP-Ratios'!$B$48</f>
        <v>1</v>
      </c>
      <c r="C113" s="50">
        <f>'P&amp;L-SOFP-Ratios'!C48/'P&amp;L-SOFP-Ratios'!$B$48</f>
        <v>1.5641301878998737</v>
      </c>
      <c r="D113" s="50">
        <f>'P&amp;L-SOFP-Ratios'!D48/'P&amp;L-SOFP-Ratios'!$B$48</f>
        <v>1.9186903481975444</v>
      </c>
      <c r="E113" s="50">
        <f>'P&amp;L-SOFP-Ratios'!E48/'P&amp;L-SOFP-Ratios'!$B$48</f>
        <v>1.6232734951403571</v>
      </c>
      <c r="F113" s="50">
        <f>'P&amp;L-SOFP-Ratios'!F48/'P&amp;L-SOFP-Ratios'!$B$48</f>
        <v>2.3272306615961154</v>
      </c>
      <c r="G113" s="50">
        <f>'P&amp;L-SOFP-Ratios'!G48/'P&amp;L-SOFP-Ratios'!$B$48</f>
        <v>3.4789160134179116</v>
      </c>
      <c r="H113" s="50">
        <f>'P&amp;L-SOFP-Ratios'!H48/'P&amp;L-SOFP-Ratios'!$B$48</f>
        <v>3.806517557024871</v>
      </c>
      <c r="I113" s="50">
        <f>'P&amp;L-SOFP-Ratios'!I48/'P&amp;L-SOFP-Ratios'!$B$48</f>
        <v>3.9310412954563643</v>
      </c>
      <c r="J113" s="50">
        <f>'P&amp;L-SOFP-Ratios'!J48/'P&amp;L-SOFP-Ratios'!$B$48</f>
        <v>3.8169187746832351</v>
      </c>
      <c r="K113" s="50">
        <f>'P&amp;L-SOFP-Ratios'!K48/'P&amp;L-SOFP-Ratios'!$B$48</f>
        <v>3.8865042143020045</v>
      </c>
      <c r="L113" s="13"/>
    </row>
    <row r="114" spans="1:12" x14ac:dyDescent="0.3">
      <c r="A114" s="22" t="s">
        <v>130</v>
      </c>
      <c r="B114" s="52">
        <f>'P&amp;L-SOFP-Ratios'!B49/'P&amp;L-SOFP-Ratios'!$B$49</f>
        <v>1</v>
      </c>
      <c r="C114" s="52">
        <f>'P&amp;L-SOFP-Ratios'!C49/'P&amp;L-SOFP-Ratios'!$B$49</f>
        <v>1.2005527619901768</v>
      </c>
      <c r="D114" s="52">
        <f>'P&amp;L-SOFP-Ratios'!D49/'P&amp;L-SOFP-Ratios'!$B$49</f>
        <v>1.4638217681823513</v>
      </c>
      <c r="E114" s="52">
        <f>'P&amp;L-SOFP-Ratios'!E49/'P&amp;L-SOFP-Ratios'!$B$49</f>
        <v>1.851212126794668</v>
      </c>
      <c r="F114" s="52">
        <f>'P&amp;L-SOFP-Ratios'!F49/'P&amp;L-SOFP-Ratios'!$B$49</f>
        <v>3.4056534314423708</v>
      </c>
      <c r="G114" s="52">
        <f>'P&amp;L-SOFP-Ratios'!G49/'P&amp;L-SOFP-Ratios'!$B$49</f>
        <v>2.7667027388218814</v>
      </c>
      <c r="H114" s="52">
        <f>'P&amp;L-SOFP-Ratios'!H49/'P&amp;L-SOFP-Ratios'!$B$49</f>
        <v>3.1244185391398038</v>
      </c>
      <c r="I114" s="52">
        <f>'P&amp;L-SOFP-Ratios'!I49/'P&amp;L-SOFP-Ratios'!$B$49</f>
        <v>3.5784205891719458</v>
      </c>
      <c r="J114" s="52">
        <f>'P&amp;L-SOFP-Ratios'!J49/'P&amp;L-SOFP-Ratios'!$B$49</f>
        <v>4.0971185958302874</v>
      </c>
      <c r="K114" s="52">
        <f>'P&amp;L-SOFP-Ratios'!K49/'P&amp;L-SOFP-Ratios'!$B$49</f>
        <v>4.5307279578078461</v>
      </c>
      <c r="L114" s="13"/>
    </row>
    <row r="115" spans="1:12" x14ac:dyDescent="0.3">
      <c r="A115" s="20"/>
      <c r="B115" s="50"/>
      <c r="C115" s="50"/>
      <c r="D115" s="50"/>
      <c r="E115" s="50"/>
      <c r="F115" s="50"/>
      <c r="G115" s="50"/>
      <c r="H115" s="50"/>
      <c r="I115" s="50"/>
      <c r="J115" s="50"/>
      <c r="K115" s="50"/>
      <c r="L115" s="13"/>
    </row>
    <row r="116" spans="1:12" x14ac:dyDescent="0.3">
      <c r="A116" s="21" t="s">
        <v>7</v>
      </c>
      <c r="B116" s="56">
        <f>'P&amp;L-SOFP-Ratios'!B50/'P&amp;L-SOFP-Ratios'!$B$50</f>
        <v>1</v>
      </c>
      <c r="C116" s="56">
        <f>'P&amp;L-SOFP-Ratios'!C50/'P&amp;L-SOFP-Ratios'!$B$50</f>
        <v>1.144186262607759</v>
      </c>
      <c r="D116" s="56">
        <f>'P&amp;L-SOFP-Ratios'!D50/'P&amp;L-SOFP-Ratios'!$B$50</f>
        <v>1.3781027957362089</v>
      </c>
      <c r="E116" s="56">
        <f>'P&amp;L-SOFP-Ratios'!E50/'P&amp;L-SOFP-Ratios'!$B$50</f>
        <v>1.5895446322952449</v>
      </c>
      <c r="F116" s="56">
        <f>'P&amp;L-SOFP-Ratios'!F50/'P&amp;L-SOFP-Ratios'!$B$50</f>
        <v>3.0612814169185119</v>
      </c>
      <c r="G116" s="56">
        <f>'P&amp;L-SOFP-Ratios'!G50/'P&amp;L-SOFP-Ratios'!$B$50</f>
        <v>2.6901819371190014</v>
      </c>
      <c r="H116" s="56">
        <f>'P&amp;L-SOFP-Ratios'!H50/'P&amp;L-SOFP-Ratios'!$B$50</f>
        <v>2.8952055073821126</v>
      </c>
      <c r="I116" s="56">
        <f>'P&amp;L-SOFP-Ratios'!I50/'P&amp;L-SOFP-Ratios'!$B$50</f>
        <v>3.1592790322179338</v>
      </c>
      <c r="J116" s="56">
        <f>'P&amp;L-SOFP-Ratios'!J50/'P&amp;L-SOFP-Ratios'!$B$50</f>
        <v>3.4558981770446171</v>
      </c>
      <c r="K116" s="56">
        <f>'P&amp;L-SOFP-Ratios'!K50/'P&amp;L-SOFP-Ratios'!$B$50</f>
        <v>3.7110642414692618</v>
      </c>
      <c r="L116" s="13"/>
    </row>
    <row r="117" spans="1:12" x14ac:dyDescent="0.3">
      <c r="A117" s="28"/>
      <c r="B117" s="64"/>
      <c r="C117" s="64"/>
      <c r="D117" s="64"/>
      <c r="E117" s="64"/>
      <c r="F117" s="64"/>
      <c r="G117" s="64"/>
      <c r="H117" s="64"/>
      <c r="I117" s="64"/>
      <c r="J117" s="64"/>
      <c r="K117" s="64"/>
      <c r="L117" s="13"/>
    </row>
    <row r="118" spans="1:12" x14ac:dyDescent="0.3">
      <c r="A118" s="28" t="s">
        <v>8</v>
      </c>
      <c r="B118" s="63"/>
      <c r="C118" s="63"/>
      <c r="D118" s="63"/>
      <c r="E118" s="63"/>
      <c r="F118" s="63"/>
      <c r="G118" s="63"/>
      <c r="H118" s="63"/>
      <c r="I118" s="63"/>
      <c r="J118" s="63"/>
      <c r="K118" s="63"/>
      <c r="L118" s="13"/>
    </row>
    <row r="119" spans="1:12" x14ac:dyDescent="0.3">
      <c r="A119" s="21" t="s">
        <v>88</v>
      </c>
      <c r="B119" s="58"/>
      <c r="C119" s="58"/>
      <c r="D119" s="58"/>
      <c r="E119" s="58"/>
      <c r="F119" s="58"/>
      <c r="G119" s="58"/>
      <c r="H119" s="58"/>
      <c r="I119" s="58"/>
      <c r="J119" s="58"/>
      <c r="K119" s="58"/>
      <c r="L119" s="13"/>
    </row>
    <row r="120" spans="1:12" x14ac:dyDescent="0.3">
      <c r="A120" s="20" t="s">
        <v>59</v>
      </c>
      <c r="B120" s="50">
        <f>'P&amp;L-SOFP-Ratios'!B55/'P&amp;L-SOFP-Ratios'!$B$55</f>
        <v>1</v>
      </c>
      <c r="C120" s="50">
        <f>'P&amp;L-SOFP-Ratios'!C55/'P&amp;L-SOFP-Ratios'!$B$55</f>
        <v>1</v>
      </c>
      <c r="D120" s="50">
        <f>'P&amp;L-SOFP-Ratios'!D55/'P&amp;L-SOFP-Ratios'!$B$55</f>
        <v>1</v>
      </c>
      <c r="E120" s="50">
        <f>'P&amp;L-SOFP-Ratios'!E55/'P&amp;L-SOFP-Ratios'!$B$55</f>
        <v>1.0473549449143549</v>
      </c>
      <c r="F120" s="50">
        <f>'P&amp;L-SOFP-Ratios'!F55/'P&amp;L-SOFP-Ratios'!$B$55</f>
        <v>1.0950409484793364</v>
      </c>
      <c r="G120" s="50">
        <f>'P&amp;L-SOFP-Ratios'!G55/'P&amp;L-SOFP-Ratios'!$B$55</f>
        <v>1.0950409484793364</v>
      </c>
      <c r="H120" s="50">
        <f>'P&amp;L-SOFP-Ratios'!H55/'P&amp;L-SOFP-Ratios'!$B$55</f>
        <v>1.0950409484793364</v>
      </c>
      <c r="I120" s="50">
        <f>'P&amp;L-SOFP-Ratios'!I55/'P&amp;L-SOFP-Ratios'!$B$55</f>
        <v>1.0950409484793364</v>
      </c>
      <c r="J120" s="50">
        <f>'P&amp;L-SOFP-Ratios'!J55/'P&amp;L-SOFP-Ratios'!$B$55</f>
        <v>1.0950409484793364</v>
      </c>
      <c r="K120" s="50">
        <f>'P&amp;L-SOFP-Ratios'!K55/'P&amp;L-SOFP-Ratios'!$B$55</f>
        <v>1.0950409484793364</v>
      </c>
      <c r="L120" s="13"/>
    </row>
    <row r="121" spans="1:12" x14ac:dyDescent="0.3">
      <c r="A121" s="20" t="s">
        <v>89</v>
      </c>
      <c r="B121" s="50">
        <f>'P&amp;L-SOFP-Ratios'!B57/'P&amp;L-SOFP-Ratios'!$B$57</f>
        <v>1</v>
      </c>
      <c r="C121" s="50">
        <f>'P&amp;L-SOFP-Ratios'!C57/'P&amp;L-SOFP-Ratios'!$B$57</f>
        <v>1.6184264991878352</v>
      </c>
      <c r="D121" s="50">
        <f>'P&amp;L-SOFP-Ratios'!D57/'P&amp;L-SOFP-Ratios'!$B$57</f>
        <v>2.0419210460262893</v>
      </c>
      <c r="E121" s="50">
        <f>'P&amp;L-SOFP-Ratios'!E57/'P&amp;L-SOFP-Ratios'!$B$57</f>
        <v>2.4150699136703988</v>
      </c>
      <c r="F121" s="50">
        <f>'P&amp;L-SOFP-Ratios'!F57/'P&amp;L-SOFP-Ratios'!$B$57</f>
        <v>5.9044155614411258</v>
      </c>
      <c r="G121" s="50">
        <f>'P&amp;L-SOFP-Ratios'!G57/'P&amp;L-SOFP-Ratios'!$B$57</f>
        <v>6.8955150738319233</v>
      </c>
      <c r="H121" s="50">
        <f>'P&amp;L-SOFP-Ratios'!H57/'P&amp;L-SOFP-Ratios'!$B$57</f>
        <v>7.8866145862227208</v>
      </c>
      <c r="I121" s="50">
        <f>'P&amp;L-SOFP-Ratios'!I57/'P&amp;L-SOFP-Ratios'!$B$57</f>
        <v>9.0343836839265084</v>
      </c>
      <c r="J121" s="50">
        <f>'P&amp;L-SOFP-Ratios'!J57/'P&amp;L-SOFP-Ratios'!$B$57</f>
        <v>10.270376548049621</v>
      </c>
      <c r="K121" s="50">
        <f>'P&amp;L-SOFP-Ratios'!K57/'P&amp;L-SOFP-Ratios'!$B$57</f>
        <v>11.641785798386843</v>
      </c>
      <c r="L121" s="13"/>
    </row>
    <row r="122" spans="1:12" x14ac:dyDescent="0.3">
      <c r="A122" s="20" t="s">
        <v>90</v>
      </c>
      <c r="B122" s="50">
        <f>'P&amp;L-SOFP-Ratios'!B58/'P&amp;L-SOFP-Ratios'!$B$58</f>
        <v>1</v>
      </c>
      <c r="C122" s="50">
        <f>'P&amp;L-SOFP-Ratios'!C58/'P&amp;L-SOFP-Ratios'!$B$58</f>
        <v>1.131629729255599</v>
      </c>
      <c r="D122" s="50">
        <f>'P&amp;L-SOFP-Ratios'!D58/'P&amp;L-SOFP-Ratios'!$B$58</f>
        <v>1.131629729255599</v>
      </c>
      <c r="E122" s="50">
        <f>'P&amp;L-SOFP-Ratios'!E58/'P&amp;L-SOFP-Ratios'!$B$58</f>
        <v>1.7951113969943278</v>
      </c>
      <c r="F122" s="50">
        <f>'P&amp;L-SOFP-Ratios'!F58/'P&amp;L-SOFP-Ratios'!$B$58</f>
        <v>1.7951113969943278</v>
      </c>
      <c r="G122" s="50">
        <f>'P&amp;L-SOFP-Ratios'!G58/'P&amp;L-SOFP-Ratios'!$B$58</f>
        <v>2.1449739781299337</v>
      </c>
      <c r="H122" s="50">
        <f>'P&amp;L-SOFP-Ratios'!H58/'P&amp;L-SOFP-Ratios'!$B$58</f>
        <v>2.4948365592655399</v>
      </c>
      <c r="I122" s="50">
        <f>'P&amp;L-SOFP-Ratios'!I58/'P&amp;L-SOFP-Ratios'!$B$58</f>
        <v>2.8685456990819249</v>
      </c>
      <c r="J122" s="50">
        <f>'P&amp;L-SOFP-Ratios'!J58/'P&amp;L-SOFP-Ratios'!$B$58</f>
        <v>3.3027746915385063</v>
      </c>
      <c r="K122" s="50">
        <f>'P&amp;L-SOFP-Ratios'!K58/'P&amp;L-SOFP-Ratios'!$B$58</f>
        <v>3.7370036839950882</v>
      </c>
      <c r="L122" s="13"/>
    </row>
    <row r="123" spans="1:12" x14ac:dyDescent="0.3">
      <c r="A123" s="20" t="s">
        <v>91</v>
      </c>
      <c r="B123" s="50">
        <f>'P&amp;L-SOFP-Ratios'!B59/'P&amp;L-SOFP-Ratios'!$B$59</f>
        <v>1</v>
      </c>
      <c r="C123" s="50">
        <f>'P&amp;L-SOFP-Ratios'!C59/'P&amp;L-SOFP-Ratios'!$B$59</f>
        <v>1.1263396838460769</v>
      </c>
      <c r="D123" s="50">
        <f>'P&amp;L-SOFP-Ratios'!D59/'P&amp;L-SOFP-Ratios'!$B$59</f>
        <v>1.2534052497625647</v>
      </c>
      <c r="E123" s="50">
        <f>'P&amp;L-SOFP-Ratios'!E59/'P&amp;L-SOFP-Ratios'!$B$59</f>
        <v>1.4354063511563628</v>
      </c>
      <c r="F123" s="50">
        <f>'P&amp;L-SOFP-Ratios'!F59/'P&amp;L-SOFP-Ratios'!$B$59</f>
        <v>1.6916041048440007</v>
      </c>
      <c r="G123" s="50">
        <f>'P&amp;L-SOFP-Ratios'!G59/'P&amp;L-SOFP-Ratios'!$B$59</f>
        <v>1.8559271126131023</v>
      </c>
      <c r="H123" s="50">
        <f>'P&amp;L-SOFP-Ratios'!H59/'P&amp;L-SOFP-Ratios'!$B$59</f>
        <v>2.0553420671278144</v>
      </c>
      <c r="I123" s="50">
        <f>'P&amp;L-SOFP-Ratios'!I59/'P&amp;L-SOFP-Ratios'!$B$59</f>
        <v>2.2667761227001972</v>
      </c>
      <c r="J123" s="50">
        <f>'P&amp;L-SOFP-Ratios'!J59/'P&amp;L-SOFP-Ratios'!$B$59</f>
        <v>2.4971874653985564</v>
      </c>
      <c r="K123" s="50">
        <f>'P&amp;L-SOFP-Ratios'!K59/'P&amp;L-SOFP-Ratios'!$B$59</f>
        <v>2.7958179636668645</v>
      </c>
      <c r="L123" s="13"/>
    </row>
    <row r="124" spans="1:12" x14ac:dyDescent="0.3">
      <c r="A124" s="20"/>
      <c r="B124" s="59"/>
      <c r="C124" s="50"/>
      <c r="D124" s="51"/>
      <c r="E124" s="51"/>
      <c r="F124" s="51"/>
      <c r="G124" s="51"/>
      <c r="H124" s="51"/>
      <c r="I124" s="51"/>
      <c r="J124" s="51"/>
      <c r="K124" s="51"/>
      <c r="L124" s="13"/>
    </row>
    <row r="125" spans="1:12" x14ac:dyDescent="0.3">
      <c r="A125" s="20"/>
      <c r="B125" s="51"/>
      <c r="C125" s="50"/>
      <c r="D125" s="51"/>
      <c r="E125" s="51"/>
      <c r="F125" s="51"/>
      <c r="G125" s="51"/>
      <c r="H125" s="51"/>
      <c r="I125" s="51"/>
      <c r="J125" s="51"/>
      <c r="K125" s="51"/>
      <c r="L125" s="13"/>
    </row>
    <row r="126" spans="1:12" x14ac:dyDescent="0.3">
      <c r="A126" s="21" t="s">
        <v>92</v>
      </c>
      <c r="B126" s="58"/>
      <c r="C126" s="58"/>
      <c r="D126" s="58"/>
      <c r="E126" s="58"/>
      <c r="F126" s="58"/>
      <c r="G126" s="58"/>
      <c r="H126" s="58"/>
      <c r="I126" s="58"/>
      <c r="J126" s="58"/>
      <c r="K126" s="58"/>
      <c r="L126" s="13"/>
    </row>
    <row r="127" spans="1:12" x14ac:dyDescent="0.3">
      <c r="A127" s="20" t="s">
        <v>93</v>
      </c>
      <c r="B127" s="50">
        <f>'P&amp;L-SOFP-Ratios'!B63/'P&amp;L-SOFP-Ratios'!$B$63</f>
        <v>1</v>
      </c>
      <c r="C127" s="50">
        <f>'P&amp;L-SOFP-Ratios'!C63/'P&amp;L-SOFP-Ratios'!$B$63</f>
        <v>0.72388288952496604</v>
      </c>
      <c r="D127" s="50">
        <f>'P&amp;L-SOFP-Ratios'!D63/'P&amp;L-SOFP-Ratios'!$B$63</f>
        <v>0.37242316477289156</v>
      </c>
      <c r="E127" s="50">
        <f>'P&amp;L-SOFP-Ratios'!E63/'P&amp;L-SOFP-Ratios'!$B$63</f>
        <v>0.17855335819816695</v>
      </c>
      <c r="F127" s="50">
        <f>'P&amp;L-SOFP-Ratios'!F63/'P&amp;L-SOFP-Ratios'!$B$63</f>
        <v>5.0426921603492643</v>
      </c>
      <c r="G127" s="50">
        <f>'P&amp;L-SOFP-Ratios'!G63/'P&amp;L-SOFP-Ratios'!$B$63</f>
        <v>3.9959840438729342</v>
      </c>
      <c r="H127" s="50">
        <f>'P&amp;L-SOFP-Ratios'!H63/'P&amp;L-SOFP-Ratios'!$B$63</f>
        <v>3.4822869357753299</v>
      </c>
      <c r="I127" s="50">
        <f>'P&amp;L-SOFP-Ratios'!I63/'P&amp;L-SOFP-Ratios'!$B$63</f>
        <v>2.8700520518496018</v>
      </c>
      <c r="J127" s="50">
        <f>'P&amp;L-SOFP-Ratios'!J63/'P&amp;L-SOFP-Ratios'!$B$63</f>
        <v>2.1675324433630601</v>
      </c>
      <c r="K127" s="50">
        <f>'P&amp;L-SOFP-Ratios'!K63/'P&amp;L-SOFP-Ratios'!$B$63</f>
        <v>1.3565151291801676</v>
      </c>
      <c r="L127" s="13"/>
    </row>
    <row r="128" spans="1:12" x14ac:dyDescent="0.3">
      <c r="A128" s="20" t="s">
        <v>95</v>
      </c>
      <c r="B128" s="50">
        <f>'P&amp;L-SOFP-Ratios'!B65/'P&amp;L-SOFP-Ratios'!$B$65</f>
        <v>1</v>
      </c>
      <c r="C128" s="50">
        <f>'P&amp;L-SOFP-Ratios'!C65/'P&amp;L-SOFP-Ratios'!$B$65</f>
        <v>1.6926390863008012</v>
      </c>
      <c r="D128" s="50">
        <f>'P&amp;L-SOFP-Ratios'!D65/'P&amp;L-SOFP-Ratios'!$B$65</f>
        <v>2.0364272147520155</v>
      </c>
      <c r="E128" s="50">
        <f>'P&amp;L-SOFP-Ratios'!E65/'P&amp;L-SOFP-Ratios'!$B$65</f>
        <v>1.9716418661400485</v>
      </c>
      <c r="F128" s="50">
        <f>'P&amp;L-SOFP-Ratios'!F65/'P&amp;L-SOFP-Ratios'!$B$65</f>
        <v>2.8892215192261732</v>
      </c>
      <c r="G128" s="50">
        <f>'P&amp;L-SOFP-Ratios'!G65/'P&amp;L-SOFP-Ratios'!$B$65</f>
        <v>2.3730972631750005</v>
      </c>
      <c r="H128" s="50">
        <f>'P&amp;L-SOFP-Ratios'!H65/'P&amp;L-SOFP-Ratios'!$B$65</f>
        <v>2.2467035734616272</v>
      </c>
      <c r="I128" s="50">
        <f>'P&amp;L-SOFP-Ratios'!I65/'P&amp;L-SOFP-Ratios'!$B$65</f>
        <v>2.1031699097591305</v>
      </c>
      <c r="J128" s="50">
        <f>'P&amp;L-SOFP-Ratios'!J65/'P&amp;L-SOFP-Ratios'!$B$65</f>
        <v>2.0327727252634555</v>
      </c>
      <c r="K128" s="50">
        <f>'P&amp;L-SOFP-Ratios'!K65/'P&amp;L-SOFP-Ratios'!$B$65</f>
        <v>1.9154475029291695</v>
      </c>
      <c r="L128" s="13"/>
    </row>
    <row r="129" spans="1:12" x14ac:dyDescent="0.3">
      <c r="A129" s="20" t="s">
        <v>94</v>
      </c>
      <c r="B129" s="78" t="s">
        <v>101</v>
      </c>
      <c r="C129" s="78" t="s">
        <v>101</v>
      </c>
      <c r="D129" s="78" t="s">
        <v>101</v>
      </c>
      <c r="E129" s="78" t="s">
        <v>101</v>
      </c>
      <c r="F129" s="78" t="s">
        <v>101</v>
      </c>
      <c r="G129" s="78" t="s">
        <v>101</v>
      </c>
      <c r="H129" s="78" t="s">
        <v>101</v>
      </c>
      <c r="I129" s="78" t="s">
        <v>101</v>
      </c>
      <c r="J129" s="78" t="s">
        <v>101</v>
      </c>
      <c r="K129" s="78" t="s">
        <v>101</v>
      </c>
      <c r="L129" s="13"/>
    </row>
    <row r="130" spans="1:12" x14ac:dyDescent="0.3">
      <c r="A130" s="20" t="s">
        <v>96</v>
      </c>
      <c r="B130" s="78">
        <f>'P&amp;L-SOFP-Ratios'!B66/'P&amp;L-SOFP-Ratios'!$B$66</f>
        <v>1</v>
      </c>
      <c r="C130" s="78">
        <f>'P&amp;L-SOFP-Ratios'!C66/'P&amp;L-SOFP-Ratios'!$B$66</f>
        <v>1.2131595928076815</v>
      </c>
      <c r="D130" s="78">
        <f>'P&amp;L-SOFP-Ratios'!D66/'P&amp;L-SOFP-Ratios'!$B$66</f>
        <v>1.8182225304094075</v>
      </c>
      <c r="E130" s="78">
        <f>'P&amp;L-SOFP-Ratios'!E66/'P&amp;L-SOFP-Ratios'!$B$66</f>
        <v>2.5060529889341541</v>
      </c>
      <c r="F130" s="78">
        <f>'P&amp;L-SOFP-Ratios'!F66/'P&amp;L-SOFP-Ratios'!$B$66</f>
        <v>2.0456743039303498</v>
      </c>
      <c r="G130" s="78">
        <f>'P&amp;L-SOFP-Ratios'!G66/'P&amp;L-SOFP-Ratios'!$B$66</f>
        <v>1.7166218832163185</v>
      </c>
      <c r="H130" s="78">
        <f>'P&amp;L-SOFP-Ratios'!H66/'P&amp;L-SOFP-Ratios'!$B$66</f>
        <v>1.8599462598595822</v>
      </c>
      <c r="I130" s="78">
        <f>'P&amp;L-SOFP-Ratios'!I66/'P&amp;L-SOFP-Ratios'!$B$66</f>
        <v>1.9893035932699625</v>
      </c>
      <c r="J130" s="78">
        <f>'P&amp;L-SOFP-Ratios'!J66/'P&amp;L-SOFP-Ratios'!$B$66</f>
        <v>2.0235198058420738</v>
      </c>
      <c r="K130" s="78">
        <f>'P&amp;L-SOFP-Ratios'!K66/'P&amp;L-SOFP-Ratios'!$B$66</f>
        <v>1.9270131692236576</v>
      </c>
      <c r="L130" s="13"/>
    </row>
    <row r="131" spans="1:12" x14ac:dyDescent="0.3">
      <c r="A131" s="22" t="s">
        <v>131</v>
      </c>
      <c r="B131" s="52">
        <f>'P&amp;L-SOFP-Ratios'!B73/'P&amp;L-SOFP-Ratios'!$B$73</f>
        <v>1</v>
      </c>
      <c r="C131" s="52">
        <f>'P&amp;L-SOFP-Ratios'!C73/'P&amp;L-SOFP-Ratios'!$B$73</f>
        <v>1.1024281582908848</v>
      </c>
      <c r="D131" s="52">
        <f>'P&amp;L-SOFP-Ratios'!D73/'P&amp;L-SOFP-Ratios'!$B$73</f>
        <v>1.48425629026201</v>
      </c>
      <c r="E131" s="52">
        <f>'P&amp;L-SOFP-Ratios'!E73/'P&amp;L-SOFP-Ratios'!$B$73</f>
        <v>1.819181006120949</v>
      </c>
      <c r="F131" s="52">
        <f>'P&amp;L-SOFP-Ratios'!F73/'P&amp;L-SOFP-Ratios'!$B$73</f>
        <v>3.8216136580292921</v>
      </c>
      <c r="G131" s="52">
        <f>'P&amp;L-SOFP-Ratios'!G73/'P&amp;L-SOFP-Ratios'!$B$73</f>
        <v>2.3259082787356204</v>
      </c>
      <c r="H131" s="52">
        <f>'P&amp;L-SOFP-Ratios'!H73/'P&amp;L-SOFP-Ratios'!$B$73</f>
        <v>2.4838463966304678</v>
      </c>
      <c r="I131" s="52">
        <f>'P&amp;L-SOFP-Ratios'!I73/'P&amp;L-SOFP-Ratios'!$B$73</f>
        <v>2.7717990020669556</v>
      </c>
      <c r="J131" s="52">
        <f>'P&amp;L-SOFP-Ratios'!J73/'P&amp;L-SOFP-Ratios'!$B$73</f>
        <v>3.1232143674536288</v>
      </c>
      <c r="K131" s="52">
        <f>'P&amp;L-SOFP-Ratios'!K73/'P&amp;L-SOFP-Ratios'!$B$73</f>
        <v>3.2607139248229289</v>
      </c>
      <c r="L131" s="13"/>
    </row>
    <row r="132" spans="1:12" x14ac:dyDescent="0.3">
      <c r="A132" s="20"/>
      <c r="B132" s="50"/>
      <c r="C132" s="50"/>
      <c r="D132" s="50"/>
      <c r="E132" s="50"/>
      <c r="F132" s="50"/>
      <c r="G132" s="50"/>
      <c r="H132" s="50"/>
      <c r="I132" s="50"/>
      <c r="J132" s="50"/>
      <c r="K132" s="50"/>
      <c r="L132" s="13"/>
    </row>
    <row r="133" spans="1:12" x14ac:dyDescent="0.3">
      <c r="A133" s="20"/>
      <c r="B133" s="51"/>
      <c r="C133" s="50"/>
      <c r="D133" s="51"/>
      <c r="E133" s="51"/>
      <c r="F133" s="51"/>
      <c r="G133" s="51"/>
      <c r="H133" s="51"/>
      <c r="I133" s="51"/>
      <c r="J133" s="51"/>
      <c r="K133" s="51"/>
      <c r="L133" s="13"/>
    </row>
    <row r="134" spans="1:12" x14ac:dyDescent="0.3">
      <c r="A134" s="21" t="s">
        <v>97</v>
      </c>
      <c r="B134" s="58"/>
      <c r="C134" s="58"/>
      <c r="D134" s="58"/>
      <c r="E134" s="58"/>
      <c r="F134" s="58"/>
      <c r="G134" s="58"/>
      <c r="H134" s="58"/>
      <c r="I134" s="58"/>
      <c r="J134" s="58"/>
      <c r="K134" s="58"/>
      <c r="L134" s="13"/>
    </row>
    <row r="135" spans="1:12" x14ac:dyDescent="0.3">
      <c r="A135" s="20" t="s">
        <v>93</v>
      </c>
      <c r="B135" s="50">
        <f>'P&amp;L-SOFP-Ratios'!B69/'P&amp;L-SOFP-Ratios'!$B$69</f>
        <v>1</v>
      </c>
      <c r="C135" s="50">
        <f>'P&amp;L-SOFP-Ratios'!C69/'P&amp;L-SOFP-Ratios'!$B$69</f>
        <v>1.2528137476835188</v>
      </c>
      <c r="D135" s="50">
        <f>'P&amp;L-SOFP-Ratios'!D69/'P&amp;L-SOFP-Ratios'!$B$69</f>
        <v>2.0249795455793875</v>
      </c>
      <c r="E135" s="50">
        <f>'P&amp;L-SOFP-Ratios'!E69/'P&amp;L-SOFP-Ratios'!$B$69</f>
        <v>1.7972656125773727</v>
      </c>
      <c r="F135" s="50">
        <f>'P&amp;L-SOFP-Ratios'!F69/'P&amp;L-SOFP-Ratios'!$B$69</f>
        <v>3.4193095512748237</v>
      </c>
      <c r="G135" s="50">
        <f>'P&amp;L-SOFP-Ratios'!G69/'P&amp;L-SOFP-Ratios'!$B$69</f>
        <v>2.2137822585647724</v>
      </c>
      <c r="H135" s="50">
        <f>'P&amp;L-SOFP-Ratios'!H69/'P&amp;L-SOFP-Ratios'!$B$69</f>
        <v>1.929193148173753</v>
      </c>
      <c r="I135" s="50">
        <f>'P&amp;L-SOFP-Ratios'!I69/'P&amp;L-SOFP-Ratios'!$B$69</f>
        <v>1.5900139349365499</v>
      </c>
      <c r="J135" s="50">
        <f>'P&amp;L-SOFP-Ratios'!J69/'P&amp;L-SOFP-Ratios'!$B$69</f>
        <v>1.2008168239155452</v>
      </c>
      <c r="K135" s="50">
        <f>'P&amp;L-SOFP-Ratios'!K69/'P&amp;L-SOFP-Ratios'!$B$69</f>
        <v>0.75151179120905598</v>
      </c>
      <c r="L135" s="13"/>
    </row>
    <row r="136" spans="1:12" x14ac:dyDescent="0.3">
      <c r="A136" s="20" t="s">
        <v>94</v>
      </c>
      <c r="B136" s="78" t="s">
        <v>101</v>
      </c>
      <c r="C136" s="78" t="s">
        <v>101</v>
      </c>
      <c r="D136" s="78" t="s">
        <v>101</v>
      </c>
      <c r="E136" s="78" t="s">
        <v>101</v>
      </c>
      <c r="F136" s="78" t="s">
        <v>101</v>
      </c>
      <c r="G136" s="78" t="s">
        <v>101</v>
      </c>
      <c r="H136" s="78" t="s">
        <v>101</v>
      </c>
      <c r="I136" s="78" t="s">
        <v>101</v>
      </c>
      <c r="J136" s="78" t="s">
        <v>101</v>
      </c>
      <c r="K136" s="78" t="s">
        <v>101</v>
      </c>
      <c r="L136" s="13"/>
    </row>
    <row r="137" spans="1:12" x14ac:dyDescent="0.3">
      <c r="A137" s="20" t="s">
        <v>98</v>
      </c>
      <c r="B137" s="78">
        <f>'P&amp;L-SOFP-Ratios'!B71/'P&amp;L-SOFP-Ratios'!$B$71</f>
        <v>1</v>
      </c>
      <c r="C137" s="78" t="s">
        <v>101</v>
      </c>
      <c r="D137" s="78">
        <f>'P&amp;L-SOFP-Ratios'!D71/'P&amp;L-SOFP-Ratios'!$B$71</f>
        <v>6.2534307366696256</v>
      </c>
      <c r="E137" s="78">
        <f>'P&amp;L-SOFP-Ratios'!E71/'P&amp;L-SOFP-Ratios'!$B$71</f>
        <v>8.631187273844473</v>
      </c>
      <c r="F137" s="78">
        <f>'P&amp;L-SOFP-Ratios'!F71/'P&amp;L-SOFP-Ratios'!$B$71</f>
        <v>15.88891923260736</v>
      </c>
      <c r="G137" s="78">
        <f>'P&amp;L-SOFP-Ratios'!G71/'P&amp;L-SOFP-Ratios'!$B$71</f>
        <v>9.4811779772170333</v>
      </c>
      <c r="H137" s="78">
        <f>'P&amp;L-SOFP-Ratios'!H71/'P&amp;L-SOFP-Ratios'!$B$71</f>
        <v>10.810235003394192</v>
      </c>
      <c r="I137" s="78">
        <f>'P&amp;L-SOFP-Ratios'!I71/'P&amp;L-SOFP-Ratios'!$B$71</f>
        <v>12.427418392442288</v>
      </c>
      <c r="J137" s="78">
        <f>'P&amp;L-SOFP-Ratios'!J71/'P&amp;L-SOFP-Ratios'!$B$71</f>
        <v>14.35204906718508</v>
      </c>
      <c r="K137" s="78">
        <f>'P&amp;L-SOFP-Ratios'!K71/'P&amp;L-SOFP-Ratios'!$B$71</f>
        <v>15.140176356354806</v>
      </c>
      <c r="L137" s="15">
        <f>+F141-F116</f>
        <v>0</v>
      </c>
    </row>
    <row r="138" spans="1:12" x14ac:dyDescent="0.3">
      <c r="A138" s="20" t="s">
        <v>10</v>
      </c>
      <c r="B138" s="50">
        <f>'P&amp;L-SOFP-Ratios'!B72/'P&amp;L-SOFP-Ratios'!$B$72</f>
        <v>1</v>
      </c>
      <c r="C138" s="50">
        <f>'P&amp;L-SOFP-Ratios'!C72/'P&amp;L-SOFP-Ratios'!$B$72</f>
        <v>1.0480621837779627</v>
      </c>
      <c r="D138" s="50">
        <f>'P&amp;L-SOFP-Ratios'!D72/'P&amp;L-SOFP-Ratios'!$B$72</f>
        <v>1.2575733938227192</v>
      </c>
      <c r="E138" s="50">
        <f>'P&amp;L-SOFP-Ratios'!E72/'P&amp;L-SOFP-Ratios'!$B$72</f>
        <v>1.8023462666688657</v>
      </c>
      <c r="F138" s="50">
        <f>'P&amp;L-SOFP-Ratios'!F72/'P&amp;L-SOFP-Ratios'!$B$72</f>
        <v>3.9276913222722389</v>
      </c>
      <c r="G138" s="50">
        <f>'P&amp;L-SOFP-Ratios'!G72/'P&amp;L-SOFP-Ratios'!$B$72</f>
        <v>2.3395158149978741</v>
      </c>
      <c r="H138" s="50">
        <f>'P&amp;L-SOFP-Ratios'!H72/'P&amp;L-SOFP-Ratios'!$B$72</f>
        <v>2.6632952955719218</v>
      </c>
      <c r="I138" s="50">
        <f>'P&amp;L-SOFP-Ratios'!I72/'P&amp;L-SOFP-Ratios'!$B$72</f>
        <v>3.187584395574051</v>
      </c>
      <c r="J138" s="50">
        <f>'P&amp;L-SOFP-Ratios'!J72/'P&amp;L-SOFP-Ratios'!$B$72</f>
        <v>3.819872425909757</v>
      </c>
      <c r="K138" s="50">
        <f>'P&amp;L-SOFP-Ratios'!K72/'P&amp;L-SOFP-Ratios'!$B$72</f>
        <v>4.1809111772481851</v>
      </c>
      <c r="L138" s="13"/>
    </row>
    <row r="139" spans="1:12" x14ac:dyDescent="0.3">
      <c r="A139" s="20"/>
      <c r="B139" s="54"/>
      <c r="C139" s="54"/>
      <c r="D139" s="54"/>
      <c r="E139" s="54"/>
      <c r="F139" s="54"/>
      <c r="G139" s="54"/>
      <c r="H139" s="54"/>
      <c r="I139" s="54"/>
      <c r="J139" s="54"/>
      <c r="K139" s="54"/>
      <c r="L139" s="13"/>
    </row>
    <row r="140" spans="1:12" x14ac:dyDescent="0.3">
      <c r="A140" s="22" t="s">
        <v>11</v>
      </c>
      <c r="B140" s="52">
        <f>'P&amp;L-SOFP-Ratios'!B75/'P&amp;L-SOFP-Ratios'!$B$75</f>
        <v>1</v>
      </c>
      <c r="C140" s="52">
        <f>'P&amp;L-SOFP-Ratios'!C75/'P&amp;L-SOFP-Ratios'!$B$75</f>
        <v>1.0759408579930041</v>
      </c>
      <c r="D140" s="52">
        <f>'P&amp;L-SOFP-Ratios'!D75/'P&amp;L-SOFP-Ratios'!$B$75</f>
        <v>1.4387778797112842</v>
      </c>
      <c r="E140" s="52">
        <f>'P&amp;L-SOFP-Ratios'!E75/'P&amp;L-SOFP-Ratios'!$B$75</f>
        <v>1.6958213592549081</v>
      </c>
      <c r="F140" s="52">
        <f>'P&amp;L-SOFP-Ratios'!F75/'P&amp;L-SOFP-Ratios'!$B$75</f>
        <v>4.0271952208643613</v>
      </c>
      <c r="G140" s="52">
        <f>'P&amp;L-SOFP-Ratios'!G75/'P&amp;L-SOFP-Ratios'!$B$75</f>
        <v>2.6712895053758712</v>
      </c>
      <c r="H140" s="52">
        <f>'P&amp;L-SOFP-Ratios'!H75/'P&amp;L-SOFP-Ratios'!$B$75</f>
        <v>2.7266278703621558</v>
      </c>
      <c r="I140" s="52">
        <f>'P&amp;L-SOFP-Ratios'!I75/'P&amp;L-SOFP-Ratios'!$B$75</f>
        <v>2.8696710616911121</v>
      </c>
      <c r="J140" s="52">
        <f>'P&amp;L-SOFP-Ratios'!J75/'P&amp;L-SOFP-Ratios'!$B$75</f>
        <v>3.0521130307078872</v>
      </c>
      <c r="K140" s="52">
        <f>'P&amp;L-SOFP-Ratios'!K75/'P&amp;L-SOFP-Ratios'!$B$75</f>
        <v>3.0438941282997276</v>
      </c>
      <c r="L140" s="13"/>
    </row>
    <row r="141" spans="1:12" x14ac:dyDescent="0.3">
      <c r="A141" s="21" t="s">
        <v>12</v>
      </c>
      <c r="B141" s="56">
        <f>'P&amp;L-SOFP-Ratios'!B76/'P&amp;L-SOFP-Ratios'!$B$76</f>
        <v>1</v>
      </c>
      <c r="C141" s="56">
        <f>'P&amp;L-SOFP-Ratios'!C76/'P&amp;L-SOFP-Ratios'!$B$76</f>
        <v>1.144186262607759</v>
      </c>
      <c r="D141" s="56">
        <f>'P&amp;L-SOFP-Ratios'!D76/'P&amp;L-SOFP-Ratios'!$B$76</f>
        <v>1.3781027957362089</v>
      </c>
      <c r="E141" s="56">
        <f>'P&amp;L-SOFP-Ratios'!E76/'P&amp;L-SOFP-Ratios'!$B$76</f>
        <v>1.5895446322952449</v>
      </c>
      <c r="F141" s="56">
        <f>'P&amp;L-SOFP-Ratios'!F76/'P&amp;L-SOFP-Ratios'!$B$76</f>
        <v>3.0612814169185119</v>
      </c>
      <c r="G141" s="56">
        <f>'P&amp;L-SOFP-Ratios'!G76/'P&amp;L-SOFP-Ratios'!$B$76</f>
        <v>2.6901819371190014</v>
      </c>
      <c r="H141" s="56">
        <f>'P&amp;L-SOFP-Ratios'!H76/'P&amp;L-SOFP-Ratios'!$B$76</f>
        <v>2.895205507382113</v>
      </c>
      <c r="I141" s="56">
        <f>'P&amp;L-SOFP-Ratios'!I76/'P&amp;L-SOFP-Ratios'!$B$76</f>
        <v>3.1592790322179338</v>
      </c>
      <c r="J141" s="56">
        <f>'P&amp;L-SOFP-Ratios'!J76/'P&amp;L-SOFP-Ratios'!$B$76</f>
        <v>3.4558981770446171</v>
      </c>
      <c r="K141" s="56">
        <f>'P&amp;L-SOFP-Ratios'!K76/'P&amp;L-SOFP-Ratios'!$B$76</f>
        <v>3.7110642414692618</v>
      </c>
      <c r="L141" s="13"/>
    </row>
    <row r="142" spans="1:12" x14ac:dyDescent="0.3">
      <c r="A142" s="13"/>
      <c r="B142" s="41"/>
      <c r="C142" s="41"/>
      <c r="D142" s="41"/>
      <c r="E142" s="55"/>
      <c r="F142" s="55"/>
      <c r="G142" s="55"/>
      <c r="H142" s="55"/>
      <c r="I142" s="55"/>
      <c r="J142" s="55"/>
      <c r="K142" s="55"/>
      <c r="L142" s="13"/>
    </row>
  </sheetData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3"/>
  <sheetViews>
    <sheetView zoomScale="85" zoomScaleNormal="85" workbookViewId="0">
      <selection activeCell="O7" sqref="O7"/>
    </sheetView>
  </sheetViews>
  <sheetFormatPr defaultRowHeight="14.4" x14ac:dyDescent="0.3"/>
  <cols>
    <col min="1" max="1" width="29.109375" bestFit="1" customWidth="1"/>
  </cols>
  <sheetData>
    <row r="1" spans="1:15" ht="15.6" x14ac:dyDescent="0.3">
      <c r="A1" s="10" t="s">
        <v>139</v>
      </c>
      <c r="B1" s="10"/>
      <c r="C1" s="10"/>
      <c r="D1" s="10"/>
      <c r="E1" s="10"/>
      <c r="F1" s="10"/>
      <c r="G1" s="10"/>
      <c r="H1" s="10"/>
      <c r="I1" s="10"/>
      <c r="J1" s="10"/>
      <c r="K1" s="10"/>
    </row>
    <row r="2" spans="1:15" x14ac:dyDescent="0.3">
      <c r="A2" s="34" t="s">
        <v>118</v>
      </c>
      <c r="B2" s="35"/>
      <c r="C2" s="35"/>
      <c r="D2" s="35"/>
      <c r="E2" s="35"/>
      <c r="F2" s="35"/>
      <c r="G2" s="35"/>
      <c r="H2" s="35"/>
      <c r="I2" s="35"/>
      <c r="J2" s="35"/>
      <c r="K2" s="35"/>
    </row>
    <row r="3" spans="1:15" ht="15.6" x14ac:dyDescent="0.3">
      <c r="A3" s="36"/>
      <c r="B3" s="37">
        <v>2018</v>
      </c>
      <c r="C3" s="37">
        <v>2019</v>
      </c>
      <c r="D3" s="37">
        <v>2020</v>
      </c>
      <c r="E3" s="37">
        <v>2021</v>
      </c>
      <c r="F3" s="37">
        <v>2022</v>
      </c>
      <c r="G3" s="37">
        <v>2023</v>
      </c>
      <c r="H3" s="37">
        <v>2024</v>
      </c>
      <c r="I3" s="37">
        <v>2025</v>
      </c>
      <c r="J3" s="37">
        <v>2026</v>
      </c>
      <c r="K3" s="37">
        <v>2027</v>
      </c>
    </row>
    <row r="4" spans="1:15" x14ac:dyDescent="0.3">
      <c r="A4" s="29"/>
      <c r="B4" s="31"/>
      <c r="C4" s="31"/>
      <c r="D4" s="31"/>
      <c r="E4" s="31"/>
      <c r="F4" s="31"/>
      <c r="G4" s="31"/>
      <c r="H4" s="31"/>
      <c r="I4" s="31"/>
      <c r="J4" s="31"/>
      <c r="K4" s="31"/>
    </row>
    <row r="5" spans="1:15" x14ac:dyDescent="0.3">
      <c r="A5" s="29" t="s">
        <v>120</v>
      </c>
      <c r="B5" s="39">
        <f>+'P&amp;L-SOFP-Ratios'!B18/'P&amp;L-SOFP-Ratios'!B16</f>
        <v>0.87808766606004462</v>
      </c>
      <c r="C5" s="39">
        <f>+'P&amp;L-SOFP-Ratios'!C18/'P&amp;L-SOFP-Ratios'!C16</f>
        <v>0.82351171567285264</v>
      </c>
      <c r="D5" s="39">
        <f>+'P&amp;L-SOFP-Ratios'!D18/'P&amp;L-SOFP-Ratios'!D16</f>
        <v>0.84772920279206987</v>
      </c>
      <c r="E5" s="39">
        <f>+'P&amp;L-SOFP-Ratios'!E18/'P&amp;L-SOFP-Ratios'!E16</f>
        <v>0.82313374525888716</v>
      </c>
      <c r="F5" s="39">
        <f>+'P&amp;L-SOFP-Ratios'!F18/'P&amp;L-SOFP-Ratios'!F16</f>
        <v>0.88390275585601941</v>
      </c>
      <c r="G5" s="278">
        <f>+'P&amp;L-SOFP-Ratios'!G18/'P&amp;L-SOFP-Ratios'!G16</f>
        <v>0.87890540984745968</v>
      </c>
      <c r="H5" s="278">
        <f>+'P&amp;L-SOFP-Ratios'!H18/'P&amp;L-SOFP-Ratios'!H16</f>
        <v>0.86874074265397594</v>
      </c>
      <c r="I5" s="278">
        <f>+'P&amp;L-SOFP-Ratios'!I18/'P&amp;L-SOFP-Ratios'!I16</f>
        <v>0.85748313566871681</v>
      </c>
      <c r="J5" s="278">
        <f>+'P&amp;L-SOFP-Ratios'!J18/'P&amp;L-SOFP-Ratios'!J16</f>
        <v>0.86184028891566666</v>
      </c>
      <c r="K5" s="278">
        <f>+'P&amp;L-SOFP-Ratios'!K18/'P&amp;L-SOFP-Ratios'!K16</f>
        <v>0.87006163713477513</v>
      </c>
      <c r="M5" s="4">
        <f>+AVERAGE(B5:F5)</f>
        <v>0.85127301712797476</v>
      </c>
      <c r="N5" s="4">
        <f>+AVERAGE(G5:K5)</f>
        <v>0.86740624284411871</v>
      </c>
      <c r="O5" s="4">
        <f>+AVERAGE(B5:K5)</f>
        <v>0.85933962998604674</v>
      </c>
    </row>
    <row r="6" spans="1:15" x14ac:dyDescent="0.3">
      <c r="A6" s="29" t="s">
        <v>121</v>
      </c>
      <c r="B6" s="39">
        <f>+'P&amp;L-SOFP-Ratios'!B18/'P&amp;L-SOFP-Ratios'!B12</f>
        <v>0.88142090806376261</v>
      </c>
      <c r="C6" s="39">
        <f>+'P&amp;L-SOFP-Ratios'!C18/'P&amp;L-SOFP-Ratios'!C12</f>
        <v>0.79274850947839104</v>
      </c>
      <c r="D6" s="39">
        <f>+'P&amp;L-SOFP-Ratios'!D18/'P&amp;L-SOFP-Ratios'!D12</f>
        <v>0.87368308012920248</v>
      </c>
      <c r="E6" s="39">
        <f>+'P&amp;L-SOFP-Ratios'!E18/'P&amp;L-SOFP-Ratios'!E12</f>
        <v>0.87638250480666435</v>
      </c>
      <c r="F6" s="39">
        <f>+'P&amp;L-SOFP-Ratios'!F18/'P&amp;L-SOFP-Ratios'!F12</f>
        <v>0.98373442493363072</v>
      </c>
      <c r="G6" s="278">
        <f>+'P&amp;L-SOFP-Ratios'!G18/'P&amp;L-SOFP-Ratios'!G12</f>
        <v>0.85318729643788982</v>
      </c>
      <c r="H6" s="278">
        <f>+'P&amp;L-SOFP-Ratios'!H18/'P&amp;L-SOFP-Ratios'!H12</f>
        <v>0.85590927504737868</v>
      </c>
      <c r="I6" s="278">
        <f>+'P&amp;L-SOFP-Ratios'!I18/'P&amp;L-SOFP-Ratios'!I12</f>
        <v>0.85441930270764377</v>
      </c>
      <c r="J6" s="278">
        <f>+'P&amp;L-SOFP-Ratios'!J18/'P&amp;L-SOFP-Ratios'!J12</f>
        <v>0.86472877326222064</v>
      </c>
      <c r="K6" s="278">
        <f>+'P&amp;L-SOFP-Ratios'!K18/'P&amp;L-SOFP-Ratios'!K12</f>
        <v>0.87764632166910617</v>
      </c>
      <c r="M6" s="4">
        <f t="shared" ref="M6:M9" si="0">+AVERAGE(B6:F6)</f>
        <v>0.88159388548233031</v>
      </c>
      <c r="N6" s="4">
        <f t="shared" ref="N6:N9" si="1">+AVERAGE(G6:K6)</f>
        <v>0.86117819382484784</v>
      </c>
      <c r="O6" s="4">
        <f t="shared" ref="O6:O9" si="2">+AVERAGE(B6:K6)</f>
        <v>0.87138603965358907</v>
      </c>
    </row>
    <row r="7" spans="1:15" x14ac:dyDescent="0.3">
      <c r="A7" s="29" t="s">
        <v>122</v>
      </c>
      <c r="B7" s="39">
        <f>+'P&amp;L-SOFP-Ratios'!B12/'P&amp;L-SOFP-Ratios'!B5</f>
        <v>7.346963714922998E-2</v>
      </c>
      <c r="C7" s="39">
        <f>+'P&amp;L-SOFP-Ratios'!C12/'P&amp;L-SOFP-Ratios'!C5</f>
        <v>7.3855140104487432E-2</v>
      </c>
      <c r="D7" s="39">
        <f>+'P&amp;L-SOFP-Ratios'!D12/'P&amp;L-SOFP-Ratios'!D5</f>
        <v>8.1991554761466301E-2</v>
      </c>
      <c r="E7" s="39">
        <f>+'P&amp;L-SOFP-Ratios'!E12/'P&amp;L-SOFP-Ratios'!E5</f>
        <v>7.6821269738690523E-2</v>
      </c>
      <c r="F7" s="39">
        <f>+'P&amp;L-SOFP-Ratios'!F12/'P&amp;L-SOFP-Ratios'!F5</f>
        <v>5.1889668226749543E-2</v>
      </c>
      <c r="G7" s="278">
        <f>+'P&amp;L-SOFP-Ratios'!G12/'P&amp;L-SOFP-Ratios'!G5</f>
        <v>7.1636103363691694E-2</v>
      </c>
      <c r="H7" s="278">
        <f>+'P&amp;L-SOFP-Ratios'!H12/'P&amp;L-SOFP-Ratios'!H5</f>
        <v>7.1269169461301088E-2</v>
      </c>
      <c r="I7" s="278">
        <f>+'P&amp;L-SOFP-Ratios'!I12/'P&amp;L-SOFP-Ratios'!I5</f>
        <v>7.0749364704336043E-2</v>
      </c>
      <c r="J7" s="278">
        <f>+'P&amp;L-SOFP-Ratios'!J12/'P&amp;L-SOFP-Ratios'!J5</f>
        <v>6.8466960570325724E-2</v>
      </c>
      <c r="K7" s="278">
        <f>+'P&amp;L-SOFP-Ratios'!K12/'P&amp;L-SOFP-Ratios'!K5</f>
        <v>6.6820153455754816E-2</v>
      </c>
      <c r="M7" s="4">
        <f t="shared" si="0"/>
        <v>7.1605453996124752E-2</v>
      </c>
      <c r="N7" s="4">
        <f t="shared" si="1"/>
        <v>6.9788350311081868E-2</v>
      </c>
      <c r="O7" s="4">
        <f t="shared" si="2"/>
        <v>7.0696902153603317E-2</v>
      </c>
    </row>
    <row r="8" spans="1:15" x14ac:dyDescent="0.3">
      <c r="A8" s="29" t="s">
        <v>123</v>
      </c>
      <c r="B8" s="39">
        <f>+'P&amp;L-SOFP-Ratios'!B5/'P&amp;L-SOFP-Ratios'!B50</f>
        <v>1.2597786161937867</v>
      </c>
      <c r="C8" s="39">
        <f>+'P&amp;L-SOFP-Ratios'!C5/'P&amp;L-SOFP-Ratios'!C50</f>
        <v>1.4181492831368059</v>
      </c>
      <c r="D8" s="39">
        <f>+'P&amp;L-SOFP-Ratios'!D5/'P&amp;L-SOFP-Ratios'!D50</f>
        <v>1.2341950723918593</v>
      </c>
      <c r="E8" s="39">
        <f>+'P&amp;L-SOFP-Ratios'!E5/'P&amp;L-SOFP-Ratios'!E50</f>
        <v>1.0218958994594709</v>
      </c>
      <c r="F8" s="39">
        <f>+'P&amp;L-SOFP-Ratios'!F5/'P&amp;L-SOFP-Ratios'!F50</f>
        <v>0.82793185101456701</v>
      </c>
      <c r="G8" s="278">
        <f>+'P&amp;L-SOFP-Ratios'!G5/'P&amp;L-SOFP-Ratios'!G50</f>
        <v>1.0511097287493678</v>
      </c>
      <c r="H8" s="278">
        <f>+'P&amp;L-SOFP-Ratios'!H5/'P&amp;L-SOFP-Ratios'!H50</f>
        <v>1.1028542078762624</v>
      </c>
      <c r="I8" s="278">
        <f>+'P&amp;L-SOFP-Ratios'!I5/'P&amp;L-SOFP-Ratios'!I50</f>
        <v>1.1572482502089523</v>
      </c>
      <c r="J8" s="278">
        <f>+'P&amp;L-SOFP-Ratios'!J5/'P&amp;L-SOFP-Ratios'!J50</f>
        <v>1.2297669309396559</v>
      </c>
      <c r="K8" s="278">
        <f>+'P&amp;L-SOFP-Ratios'!K5/'P&amp;L-SOFP-Ratios'!K50</f>
        <v>1.3159197649959569</v>
      </c>
      <c r="M8" s="4">
        <f t="shared" si="0"/>
        <v>1.1523901444392979</v>
      </c>
      <c r="N8" s="4">
        <f t="shared" si="1"/>
        <v>1.1713797765540392</v>
      </c>
      <c r="O8" s="4">
        <f t="shared" si="2"/>
        <v>1.1618849604966686</v>
      </c>
    </row>
    <row r="9" spans="1:15" x14ac:dyDescent="0.3">
      <c r="A9" s="29" t="s">
        <v>124</v>
      </c>
      <c r="B9" s="39">
        <f>+'P&amp;L-SOFP-Ratios'!B50/'P&amp;L-SOFP-Ratios'!B60</f>
        <v>1.6720135381836498</v>
      </c>
      <c r="C9" s="39">
        <f>+'P&amp;L-SOFP-Ratios'!C50/'P&amp;L-SOFP-Ratios'!C60</f>
        <v>1.6075778145534858</v>
      </c>
      <c r="D9" s="39">
        <f>+'P&amp;L-SOFP-Ratios'!D50/'P&amp;L-SOFP-Ratios'!D60</f>
        <v>1.722992402600021</v>
      </c>
      <c r="E9" s="39">
        <f>+'P&amp;L-SOFP-Ratios'!E50/'P&amp;L-SOFP-Ratios'!E60</f>
        <v>1.7506725314880065</v>
      </c>
      <c r="F9" s="39">
        <f>+'P&amp;L-SOFP-Ratios'!F50/'P&amp;L-SOFP-Ratios'!F60</f>
        <v>2.1219461834815432</v>
      </c>
      <c r="G9" s="278">
        <f>+'P&amp;L-SOFP-Ratios'!G50/'P&amp;L-SOFP-Ratios'!G60</f>
        <v>1.6641597488951898</v>
      </c>
      <c r="H9" s="278">
        <f>+'P&amp;L-SOFP-Ratios'!H50/'P&amp;L-SOFP-Ratios'!H60</f>
        <v>1.6090529294418197</v>
      </c>
      <c r="I9" s="278">
        <f>+'P&amp;L-SOFP-Ratios'!I50/'P&amp;L-SOFP-Ratios'!I60</f>
        <v>1.5749897390524388</v>
      </c>
      <c r="J9" s="278">
        <f>+'P&amp;L-SOFP-Ratios'!J50/'P&amp;L-SOFP-Ratios'!J60</f>
        <v>1.5502884924400426</v>
      </c>
      <c r="K9" s="278">
        <f>+'P&amp;L-SOFP-Ratios'!K50/'P&amp;L-SOFP-Ratios'!K60</f>
        <v>1.4917854410070692</v>
      </c>
      <c r="M9" s="195">
        <f t="shared" si="0"/>
        <v>1.7750404940613411</v>
      </c>
      <c r="N9" s="195">
        <f t="shared" si="1"/>
        <v>1.5780552701673121</v>
      </c>
      <c r="O9" s="4">
        <f t="shared" si="2"/>
        <v>1.6765478821143265</v>
      </c>
    </row>
    <row r="10" spans="1:15" x14ac:dyDescent="0.3">
      <c r="A10" s="29"/>
      <c r="B10" s="32"/>
      <c r="C10" s="32"/>
      <c r="D10" s="32"/>
      <c r="E10" s="32"/>
      <c r="F10" s="32"/>
      <c r="G10" s="279"/>
      <c r="H10" s="279"/>
      <c r="I10" s="279"/>
      <c r="J10" s="279"/>
      <c r="K10" s="279"/>
    </row>
    <row r="11" spans="1:15" x14ac:dyDescent="0.3">
      <c r="A11" s="29" t="s">
        <v>119</v>
      </c>
      <c r="B11" s="30">
        <f>+B5*B6*B7*B8*B9</f>
        <v>0.11977416223650103</v>
      </c>
      <c r="C11" s="30">
        <f t="shared" ref="C11:K11" si="3">+C5*C6*C7*C8*C9</f>
        <v>0.10992080400827833</v>
      </c>
      <c r="D11" s="30">
        <f t="shared" si="3"/>
        <v>0.12913600942576883</v>
      </c>
      <c r="E11" s="30">
        <f t="shared" si="3"/>
        <v>9.9141882449996444E-2</v>
      </c>
      <c r="F11" s="30">
        <f t="shared" si="3"/>
        <v>7.9266960771360098E-2</v>
      </c>
      <c r="G11" s="280">
        <f t="shared" si="3"/>
        <v>9.396400986040368E-2</v>
      </c>
      <c r="H11" s="280">
        <f t="shared" si="3"/>
        <v>9.4039011435002345E-2</v>
      </c>
      <c r="I11" s="280">
        <f t="shared" si="3"/>
        <v>9.4476423576122598E-2</v>
      </c>
      <c r="J11" s="280">
        <f t="shared" si="3"/>
        <v>9.7279893196464601E-2</v>
      </c>
      <c r="K11" s="280">
        <f t="shared" si="3"/>
        <v>0.10016426307117675</v>
      </c>
    </row>
    <row r="12" spans="1:15" x14ac:dyDescent="0.3">
      <c r="A12" s="29" t="s">
        <v>125</v>
      </c>
      <c r="B12" s="33">
        <f>+'P&amp;L-SOFP-Ratios'!B18/'P&amp;L-SOFP-Ratios'!B60</f>
        <v>0.13640342173797337</v>
      </c>
      <c r="C12" s="33">
        <f>+'P&amp;L-SOFP-Ratios'!C18/'P&amp;L-SOFP-Ratios'!C60</f>
        <v>0.13347813020300167</v>
      </c>
      <c r="D12" s="33">
        <f>+'P&amp;L-SOFP-Ratios'!D18/'P&amp;L-SOFP-Ratios'!D60</f>
        <v>0.1523316750212782</v>
      </c>
      <c r="E12" s="33">
        <f>+'P&amp;L-SOFP-Ratios'!E18/'P&amp;L-SOFP-Ratios'!E60</f>
        <v>0.12044443934055324</v>
      </c>
      <c r="F12" s="33">
        <f>+'P&amp;L-SOFP-Ratios'!F18/'P&amp;L-SOFP-Ratios'!F60</f>
        <v>8.9678372701297526E-2</v>
      </c>
      <c r="G12" s="281">
        <f>+'P&amp;L-SOFP-Ratios'!G18/'P&amp;L-SOFP-Ratios'!G60</f>
        <v>0.10691026452631781</v>
      </c>
      <c r="H12" s="281">
        <f>+'P&amp;L-SOFP-Ratios'!H18/'P&amp;L-SOFP-Ratios'!H60</f>
        <v>0.10824749757645309</v>
      </c>
      <c r="I12" s="281">
        <f>+'P&amp;L-SOFP-Ratios'!I18/'P&amp;L-SOFP-Ratios'!I60</f>
        <v>0.11017875413076693</v>
      </c>
      <c r="J12" s="281">
        <f>+'P&amp;L-SOFP-Ratios'!J18/'P&amp;L-SOFP-Ratios'!J60</f>
        <v>0.1128746177773359</v>
      </c>
      <c r="K12" s="281">
        <f>+'P&amp;L-SOFP-Ratios'!K18/'P&amp;L-SOFP-Ratios'!K60</f>
        <v>0.11512318069904856</v>
      </c>
    </row>
    <row r="13" spans="1:15" x14ac:dyDescent="0.3">
      <c r="A13" s="29" t="s">
        <v>128</v>
      </c>
      <c r="B13" s="40">
        <f>+B12-B11</f>
        <v>1.6629259501472343E-2</v>
      </c>
      <c r="C13" s="40">
        <f t="shared" ref="C13:K13" si="4">+C12-C11</f>
        <v>2.3557326194723338E-2</v>
      </c>
      <c r="D13" s="40">
        <f t="shared" si="4"/>
        <v>2.3195665595509368E-2</v>
      </c>
      <c r="E13" s="40">
        <f t="shared" si="4"/>
        <v>2.1302556890556795E-2</v>
      </c>
      <c r="F13" s="40">
        <f t="shared" si="4"/>
        <v>1.0411411929937428E-2</v>
      </c>
      <c r="G13" s="282">
        <f t="shared" si="4"/>
        <v>1.2946254665914134E-2</v>
      </c>
      <c r="H13" s="282">
        <f t="shared" si="4"/>
        <v>1.4208486141450746E-2</v>
      </c>
      <c r="I13" s="282">
        <f t="shared" si="4"/>
        <v>1.5702330554644331E-2</v>
      </c>
      <c r="J13" s="282">
        <f t="shared" si="4"/>
        <v>1.55947245808713E-2</v>
      </c>
      <c r="K13" s="282">
        <f t="shared" si="4"/>
        <v>1.4958917627871812E-2</v>
      </c>
    </row>
    <row r="38" spans="1:11" ht="15.6" x14ac:dyDescent="0.3">
      <c r="A38" s="68"/>
      <c r="B38" s="69">
        <v>2018</v>
      </c>
      <c r="C38" s="69">
        <v>2019</v>
      </c>
      <c r="D38" s="69">
        <v>2020</v>
      </c>
      <c r="E38" s="69">
        <v>2021</v>
      </c>
      <c r="F38" s="69">
        <v>2022</v>
      </c>
      <c r="G38" s="37"/>
      <c r="H38" s="37"/>
      <c r="I38" s="37"/>
      <c r="J38" s="37"/>
      <c r="K38" s="37"/>
    </row>
    <row r="39" spans="1:11" x14ac:dyDescent="0.3">
      <c r="A39" s="70" t="s">
        <v>134</v>
      </c>
      <c r="B39" s="71">
        <v>0.87808766606004462</v>
      </c>
      <c r="C39" s="71">
        <v>0.82351171567285264</v>
      </c>
      <c r="D39" s="71">
        <v>0.84772920279206987</v>
      </c>
      <c r="E39" s="71">
        <v>0.82313374525888716</v>
      </c>
      <c r="F39" s="71">
        <v>0.88390275585601941</v>
      </c>
      <c r="G39" s="277"/>
      <c r="H39" s="277"/>
      <c r="I39" s="277"/>
      <c r="J39" s="277"/>
      <c r="K39" s="277"/>
    </row>
    <row r="40" spans="1:11" x14ac:dyDescent="0.3">
      <c r="A40" s="70" t="s">
        <v>135</v>
      </c>
      <c r="B40" s="71">
        <v>0.88142090806376261</v>
      </c>
      <c r="C40" s="71">
        <v>0.79274850947839104</v>
      </c>
      <c r="D40" s="71">
        <v>0.87368308012920248</v>
      </c>
      <c r="E40" s="71">
        <v>0.87638250480666435</v>
      </c>
      <c r="F40" s="71">
        <v>0.98373442493363072</v>
      </c>
      <c r="G40" s="277"/>
      <c r="H40" s="277"/>
      <c r="I40" s="277"/>
      <c r="J40" s="277"/>
      <c r="K40" s="277"/>
    </row>
    <row r="41" spans="1:11" x14ac:dyDescent="0.3">
      <c r="A41" s="70" t="s">
        <v>136</v>
      </c>
      <c r="B41" s="71">
        <v>7.346963714922998E-2</v>
      </c>
      <c r="C41" s="71">
        <v>7.3855140104487432E-2</v>
      </c>
      <c r="D41" s="71">
        <v>8.1991554761466301E-2</v>
      </c>
      <c r="E41" s="71">
        <v>7.6821269738690523E-2</v>
      </c>
      <c r="F41" s="71">
        <v>5.1889668226749543E-2</v>
      </c>
      <c r="G41" s="277"/>
      <c r="H41" s="277"/>
      <c r="I41" s="277"/>
      <c r="J41" s="277"/>
      <c r="K41" s="277"/>
    </row>
    <row r="42" spans="1:11" x14ac:dyDescent="0.3">
      <c r="A42" s="70" t="s">
        <v>137</v>
      </c>
      <c r="B42" s="71">
        <v>1.2597786161937867</v>
      </c>
      <c r="C42" s="71">
        <v>1.4181492831368059</v>
      </c>
      <c r="D42" s="71">
        <v>1.2341950723918593</v>
      </c>
      <c r="E42" s="71">
        <v>1.0218958994594709</v>
      </c>
      <c r="F42" s="71">
        <v>0.82793185101456701</v>
      </c>
      <c r="G42" s="277"/>
      <c r="H42" s="277"/>
      <c r="I42" s="277"/>
      <c r="J42" s="277"/>
      <c r="K42" s="277"/>
    </row>
    <row r="43" spans="1:11" x14ac:dyDescent="0.3">
      <c r="A43" s="70" t="s">
        <v>138</v>
      </c>
      <c r="B43" s="71">
        <v>1.6720135381836498</v>
      </c>
      <c r="C43" s="71">
        <v>1.6075778145534858</v>
      </c>
      <c r="D43" s="71">
        <v>1.722992402600021</v>
      </c>
      <c r="E43" s="71">
        <v>1.7506725314880065</v>
      </c>
      <c r="F43" s="71">
        <v>2.1219461834815432</v>
      </c>
      <c r="G43" s="277"/>
      <c r="H43" s="277"/>
      <c r="I43" s="277"/>
      <c r="J43" s="277"/>
      <c r="K43" s="277"/>
    </row>
  </sheetData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'Dupont Analysis'!B5:F5</xm:f>
              <xm:sqref>L5</xm:sqref>
            </x14:sparkline>
            <x14:sparkline>
              <xm:f>'Dupont Analysis'!B6:F6</xm:f>
              <xm:sqref>L6</xm:sqref>
            </x14:sparkline>
            <x14:sparkline>
              <xm:f>'Dupont Analysis'!B7:F7</xm:f>
              <xm:sqref>L7</xm:sqref>
            </x14:sparkline>
            <x14:sparkline>
              <xm:f>'Dupont Analysis'!B8:F8</xm:f>
              <xm:sqref>L8</xm:sqref>
            </x14:sparkline>
            <x14:sparkline>
              <xm:f>'Dupont Analysis'!B9:F9</xm:f>
              <xm:sqref>L9</xm:sqref>
            </x14:sparkline>
            <x14:sparkline>
              <xm:f>'Dupont Analysis'!B11:F11</xm:f>
              <xm:sqref>L11</xm:sqref>
            </x14:sparkline>
            <x14:sparkline>
              <xm:f>'Dupont Analysis'!B12:F12</xm:f>
              <xm:sqref>L12</xm:sqref>
            </x14:sparkline>
          </x14:sparklines>
        </x14:sparklineGroup>
      </x14:sparklineGroup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0"/>
  <sheetViews>
    <sheetView topLeftCell="A43" zoomScaleNormal="100" workbookViewId="0">
      <selection activeCell="A45" sqref="A45:D67"/>
    </sheetView>
  </sheetViews>
  <sheetFormatPr defaultRowHeight="14.4" x14ac:dyDescent="0.3"/>
  <cols>
    <col min="1" max="1" width="40.44140625" customWidth="1"/>
    <col min="2" max="2" width="15" bestFit="1" customWidth="1"/>
    <col min="3" max="5" width="14" bestFit="1" customWidth="1"/>
    <col min="6" max="6" width="15" bestFit="1" customWidth="1"/>
    <col min="7" max="7" width="15" customWidth="1"/>
    <col min="8" max="8" width="14" customWidth="1"/>
    <col min="9" max="9" width="14.33203125" bestFit="1" customWidth="1"/>
    <col min="10" max="10" width="14" bestFit="1" customWidth="1"/>
    <col min="11" max="12" width="14.33203125" bestFit="1" customWidth="1"/>
    <col min="13" max="13" width="40.33203125" bestFit="1" customWidth="1"/>
  </cols>
  <sheetData>
    <row r="1" spans="1:23" x14ac:dyDescent="0.3">
      <c r="A1" s="123"/>
      <c r="B1" s="518" t="s">
        <v>270</v>
      </c>
      <c r="C1" s="518"/>
      <c r="D1" s="518"/>
      <c r="E1" s="518"/>
      <c r="F1" s="518"/>
      <c r="G1" s="518" t="s">
        <v>271</v>
      </c>
      <c r="H1" s="518"/>
      <c r="I1" s="518"/>
      <c r="J1" s="518"/>
      <c r="K1" s="518"/>
    </row>
    <row r="2" spans="1:23" x14ac:dyDescent="0.3">
      <c r="A2" s="123"/>
      <c r="B2" s="120">
        <v>2018</v>
      </c>
      <c r="C2" s="120">
        <v>2019</v>
      </c>
      <c r="D2" s="120">
        <v>2020</v>
      </c>
      <c r="E2" s="121">
        <v>2021</v>
      </c>
      <c r="F2" s="121">
        <v>2022</v>
      </c>
      <c r="G2" s="119">
        <v>2023</v>
      </c>
      <c r="H2" s="119">
        <v>2024</v>
      </c>
      <c r="I2" s="119">
        <v>2025</v>
      </c>
      <c r="J2" s="119">
        <v>2026</v>
      </c>
      <c r="K2" s="119">
        <v>2027</v>
      </c>
      <c r="M2" s="123"/>
      <c r="N2" s="120">
        <v>2018</v>
      </c>
      <c r="O2" s="120">
        <v>2019</v>
      </c>
      <c r="P2" s="120">
        <v>2020</v>
      </c>
      <c r="Q2" s="121">
        <v>2021</v>
      </c>
      <c r="R2" s="121">
        <v>2022</v>
      </c>
      <c r="S2" s="262">
        <v>2023</v>
      </c>
      <c r="T2" s="262">
        <v>2024</v>
      </c>
      <c r="U2" s="262">
        <v>2025</v>
      </c>
      <c r="V2" s="262">
        <v>2026</v>
      </c>
      <c r="W2" s="262">
        <v>2027</v>
      </c>
    </row>
    <row r="3" spans="1:23" x14ac:dyDescent="0.3">
      <c r="A3" t="s">
        <v>272</v>
      </c>
      <c r="B3" s="74">
        <f>+'P&amp;L-SOFP-Ratios'!B12*(1-FCFF!N3)</f>
        <v>1575432.54</v>
      </c>
      <c r="C3" s="74">
        <f>+'P&amp;L-SOFP-Ratios'!C12*(1-FCFF!O3)</f>
        <v>1931990.7760000001</v>
      </c>
      <c r="D3" s="74">
        <f>+'P&amp;L-SOFP-Ratios'!D12*(1-FCFF!P3)</f>
        <v>2248227.1440000003</v>
      </c>
      <c r="E3" s="74">
        <f>+'P&amp;L-SOFP-Ratios'!E12*(1-FCFF!Q3)</f>
        <v>1992184.0320000001</v>
      </c>
      <c r="F3" s="74">
        <f>+'P&amp;L-SOFP-Ratios'!F12*(1-FCFF!R3)</f>
        <v>2181991.344</v>
      </c>
      <c r="G3" s="263">
        <f>+'P&amp;L-SOFP-Ratios'!G12*(1-FCFF!S3)</f>
        <v>3314775.4852841413</v>
      </c>
      <c r="H3" s="263">
        <f>+'P&amp;L-SOFP-Ratios'!H12*(1-FCFF!T3)</f>
        <v>3693926.5134784835</v>
      </c>
      <c r="I3" s="263">
        <f>+'P&amp;L-SOFP-Ratios'!I12*(1-FCFF!U3)</f>
        <v>4204557.9794676751</v>
      </c>
      <c r="J3" s="263">
        <f>+'P&amp;L-SOFP-Ratios'!J12*(1-FCFF!V3)</f>
        <v>4737618.4962456077</v>
      </c>
      <c r="K3" s="263">
        <f>+'P&amp;L-SOFP-Ratios'!K12*(1-FCFF!W3)</f>
        <v>5333546.3345221402</v>
      </c>
      <c r="M3" s="123" t="s">
        <v>282</v>
      </c>
      <c r="N3" s="124">
        <v>0.13</v>
      </c>
      <c r="O3" s="124">
        <v>0.17599999999999999</v>
      </c>
      <c r="P3" s="124">
        <v>0.17599999999999999</v>
      </c>
      <c r="Q3" s="124">
        <v>0.184</v>
      </c>
      <c r="R3" s="124">
        <v>0.152</v>
      </c>
      <c r="S3" s="374">
        <f>+AVERAGE(N3:R3)</f>
        <v>0.1636</v>
      </c>
      <c r="T3" s="374">
        <f t="shared" ref="T3:W3" si="0">+AVERAGE(O3:S3)</f>
        <v>0.17032</v>
      </c>
      <c r="U3" s="374">
        <f t="shared" si="0"/>
        <v>0.169184</v>
      </c>
      <c r="V3" s="374">
        <f t="shared" si="0"/>
        <v>0.16782079999999999</v>
      </c>
      <c r="W3" s="374">
        <f t="shared" si="0"/>
        <v>0.16458496</v>
      </c>
    </row>
    <row r="4" spans="1:23" x14ac:dyDescent="0.3">
      <c r="A4" s="96" t="s">
        <v>283</v>
      </c>
      <c r="B4" s="74"/>
      <c r="G4" s="264"/>
      <c r="H4" s="264"/>
      <c r="I4" s="264"/>
      <c r="J4" s="264"/>
      <c r="K4" s="264"/>
      <c r="M4" s="123"/>
      <c r="N4" s="124"/>
      <c r="O4" s="124"/>
      <c r="P4" s="124"/>
      <c r="Q4" s="124"/>
      <c r="R4" s="124"/>
      <c r="S4" s="264"/>
      <c r="T4" s="264"/>
      <c r="U4" s="264"/>
      <c r="V4" s="264"/>
      <c r="W4" s="264"/>
    </row>
    <row r="5" spans="1:23" x14ac:dyDescent="0.3">
      <c r="A5" t="s">
        <v>469</v>
      </c>
      <c r="B5" s="4">
        <f>-PPE!B152</f>
        <v>1064514</v>
      </c>
      <c r="C5" s="4">
        <f>-PPE!C152</f>
        <v>1240971</v>
      </c>
      <c r="D5" s="4">
        <f>-PPE!D152-PPE!D347</f>
        <v>1286324</v>
      </c>
      <c r="E5" s="4">
        <f>-PPE!E152-PPE!E347</f>
        <v>1381321</v>
      </c>
      <c r="F5" s="4">
        <f>-PPE!F152-PPE!F347</f>
        <v>1451718</v>
      </c>
      <c r="G5" s="265">
        <f>-PPE!G152-PPE!G347</f>
        <v>1916260.6960949688</v>
      </c>
      <c r="H5" s="265">
        <f>-PPE!H152-PPE!H347</f>
        <v>1888339.4515294288</v>
      </c>
      <c r="I5" s="265">
        <f>-PPE!I152-PPE!I347</f>
        <v>1838235.4524301942</v>
      </c>
      <c r="J5" s="265">
        <f>-PPE!J152-PPE!J347</f>
        <v>1803131.2613917915</v>
      </c>
      <c r="K5" s="265">
        <f>-PPE!K152-PPE!K347</f>
        <v>1750105.3670232557</v>
      </c>
    </row>
    <row r="6" spans="1:23" x14ac:dyDescent="0.3">
      <c r="A6" s="222" t="s">
        <v>279</v>
      </c>
      <c r="B6" s="4">
        <f>+PPE!B334</f>
        <v>45858</v>
      </c>
      <c r="C6" s="4">
        <f>+PPE!C334</f>
        <v>43147</v>
      </c>
      <c r="D6" s="4">
        <f>+PPE!D334</f>
        <v>39632</v>
      </c>
      <c r="E6" s="4">
        <f>+PPE!E334</f>
        <v>47145</v>
      </c>
      <c r="F6" s="4">
        <f>+PPE!F334</f>
        <v>51962</v>
      </c>
      <c r="G6" s="265">
        <f>+PPE!G334</f>
        <v>39232.800000000003</v>
      </c>
      <c r="H6" s="265">
        <f>+PPE!H334</f>
        <v>40921.56</v>
      </c>
      <c r="I6" s="265">
        <f>+PPE!I334</f>
        <v>43778.671999999999</v>
      </c>
      <c r="J6" s="265">
        <f>+PPE!J334</f>
        <v>44608.006399999998</v>
      </c>
      <c r="K6" s="265">
        <f>+PPE!K334</f>
        <v>44100.607679999994</v>
      </c>
    </row>
    <row r="7" spans="1:23" x14ac:dyDescent="0.3">
      <c r="A7" s="96" t="s">
        <v>471</v>
      </c>
      <c r="B7" s="4">
        <f>+C38</f>
        <v>-113329</v>
      </c>
      <c r="C7" s="4">
        <f t="shared" ref="C7:K7" si="1">+D38</f>
        <v>729170</v>
      </c>
      <c r="D7" s="4">
        <f t="shared" si="1"/>
        <v>511354</v>
      </c>
      <c r="E7" s="4">
        <f t="shared" si="1"/>
        <v>1929686</v>
      </c>
      <c r="F7" s="4">
        <f t="shared" si="1"/>
        <v>5581398</v>
      </c>
      <c r="G7" s="265">
        <f t="shared" si="1"/>
        <v>-2389352.2770805918</v>
      </c>
      <c r="H7" s="265">
        <f t="shared" si="1"/>
        <v>1535142.8255518805</v>
      </c>
      <c r="I7" s="265">
        <f t="shared" si="1"/>
        <v>2197593.689016154</v>
      </c>
      <c r="J7" s="265">
        <f t="shared" si="1"/>
        <v>3138472.89783144</v>
      </c>
      <c r="K7" s="265">
        <f t="shared" si="1"/>
        <v>3047653.6090661474</v>
      </c>
    </row>
    <row r="8" spans="1:23" x14ac:dyDescent="0.3">
      <c r="B8" s="86"/>
      <c r="C8" s="86"/>
      <c r="D8" s="86"/>
      <c r="E8" s="86"/>
      <c r="F8" s="86"/>
      <c r="G8" s="266"/>
      <c r="H8" s="266"/>
      <c r="I8" s="266"/>
      <c r="J8" s="266"/>
      <c r="K8" s="266"/>
    </row>
    <row r="9" spans="1:23" x14ac:dyDescent="0.3">
      <c r="A9" t="s">
        <v>273</v>
      </c>
      <c r="B9" s="86" t="s">
        <v>82</v>
      </c>
      <c r="C9" s="86" t="s">
        <v>82</v>
      </c>
      <c r="D9" s="86" t="s">
        <v>82</v>
      </c>
      <c r="E9" s="86" t="s">
        <v>82</v>
      </c>
      <c r="F9" s="86" t="s">
        <v>82</v>
      </c>
      <c r="G9" s="266" t="s">
        <v>82</v>
      </c>
      <c r="H9" s="266" t="s">
        <v>82</v>
      </c>
      <c r="I9" s="266" t="s">
        <v>82</v>
      </c>
      <c r="J9" s="266" t="s">
        <v>82</v>
      </c>
      <c r="K9" s="266" t="s">
        <v>82</v>
      </c>
    </row>
    <row r="10" spans="1:23" ht="15.6" x14ac:dyDescent="0.3">
      <c r="A10" s="267" t="s">
        <v>274</v>
      </c>
      <c r="B10" s="225">
        <f>SUM(B3:B9)</f>
        <v>2572475.54</v>
      </c>
      <c r="C10" s="225">
        <f t="shared" ref="C10:K10" si="2">SUM(C3:C9)</f>
        <v>3945278.7760000001</v>
      </c>
      <c r="D10" s="225">
        <f t="shared" si="2"/>
        <v>4085537.1440000003</v>
      </c>
      <c r="E10" s="225">
        <f t="shared" si="2"/>
        <v>5350336.0319999997</v>
      </c>
      <c r="F10" s="225">
        <f t="shared" si="2"/>
        <v>9267069.3440000005</v>
      </c>
      <c r="G10" s="387">
        <f t="shared" si="2"/>
        <v>2880916.7042985177</v>
      </c>
      <c r="H10" s="387">
        <f t="shared" si="2"/>
        <v>7158330.3505597925</v>
      </c>
      <c r="I10" s="387">
        <f t="shared" si="2"/>
        <v>8284165.7929140236</v>
      </c>
      <c r="J10" s="387">
        <f t="shared" si="2"/>
        <v>9723830.6618688405</v>
      </c>
      <c r="K10" s="387">
        <f t="shared" si="2"/>
        <v>10175405.918291543</v>
      </c>
    </row>
    <row r="11" spans="1:23" x14ac:dyDescent="0.3">
      <c r="A11" t="s">
        <v>640</v>
      </c>
      <c r="B11" s="4"/>
      <c r="C11" s="4"/>
      <c r="D11" s="4"/>
      <c r="E11" s="4"/>
      <c r="F11" s="4"/>
      <c r="G11" s="265"/>
      <c r="H11" s="265"/>
      <c r="I11" s="265"/>
      <c r="J11" s="265"/>
      <c r="K11" s="265">
        <f>+K10*(1+B58)/(B67-B58)</f>
        <v>42292298.563419491</v>
      </c>
    </row>
    <row r="12" spans="1:23" x14ac:dyDescent="0.3">
      <c r="A12" t="str">
        <f>+'P&amp;L-SOFP-Ratios'!A161</f>
        <v>Weighted average number of ordinary shares</v>
      </c>
      <c r="G12" s="264"/>
      <c r="H12" s="264"/>
      <c r="I12" s="264"/>
      <c r="J12" s="264"/>
      <c r="K12" s="265">
        <f>+'P&amp;L-SOFP-Ratios'!K161</f>
        <v>715663</v>
      </c>
    </row>
    <row r="13" spans="1:23" ht="15" thickBot="1" x14ac:dyDescent="0.35">
      <c r="A13" s="496" t="s">
        <v>655</v>
      </c>
      <c r="B13" s="268"/>
      <c r="C13" s="268"/>
      <c r="D13" s="268"/>
      <c r="E13" s="268"/>
      <c r="F13" s="268"/>
      <c r="G13" s="388">
        <f>+G10</f>
        <v>2880916.7042985177</v>
      </c>
      <c r="H13" s="388">
        <f>+H10</f>
        <v>7158330.3505597925</v>
      </c>
      <c r="I13" s="388">
        <f>+I10</f>
        <v>8284165.7929140236</v>
      </c>
      <c r="J13" s="388">
        <f>+J10</f>
        <v>9723830.6618688405</v>
      </c>
      <c r="K13" s="388">
        <f>+K10+K11</f>
        <v>52467704.48171103</v>
      </c>
    </row>
    <row r="14" spans="1:23" ht="15" thickTop="1" x14ac:dyDescent="0.3"/>
    <row r="16" spans="1:23" x14ac:dyDescent="0.3">
      <c r="A16" s="97" t="s">
        <v>641</v>
      </c>
      <c r="B16" s="123"/>
    </row>
    <row r="17" spans="1:12" x14ac:dyDescent="0.3">
      <c r="A17" t="s">
        <v>642</v>
      </c>
      <c r="B17" s="160">
        <f>+NPV(B67,G13:K13)</f>
        <v>29524457.516009964</v>
      </c>
    </row>
    <row r="18" spans="1:12" x14ac:dyDescent="0.3">
      <c r="A18" s="222" t="s">
        <v>643</v>
      </c>
      <c r="B18" s="4">
        <f>+'P&amp;L-SOFP-Ratios'!F48+'P&amp;L-SOFP-Ratios'!F47</f>
        <v>8205500</v>
      </c>
    </row>
    <row r="19" spans="1:12" x14ac:dyDescent="0.3">
      <c r="A19" s="222" t="s">
        <v>644</v>
      </c>
      <c r="B19" s="4">
        <f>-('P&amp;L-SOFP-Ratios'!F69+'P&amp;L-SOFP-Ratios'!F63)</f>
        <v>-11494713</v>
      </c>
    </row>
    <row r="20" spans="1:12" x14ac:dyDescent="0.3">
      <c r="A20" s="373" t="s">
        <v>550</v>
      </c>
      <c r="B20" s="237">
        <f>SUM(B17:B19)</f>
        <v>26235244.516009964</v>
      </c>
    </row>
    <row r="21" spans="1:12" x14ac:dyDescent="0.3">
      <c r="A21" t="s">
        <v>106</v>
      </c>
      <c r="B21" s="4">
        <f>+K12</f>
        <v>715663</v>
      </c>
    </row>
    <row r="22" spans="1:12" x14ac:dyDescent="0.3">
      <c r="A22" t="s">
        <v>645</v>
      </c>
      <c r="B22" s="385">
        <f>+B20/B21</f>
        <v>36.658657099794127</v>
      </c>
    </row>
    <row r="23" spans="1:12" x14ac:dyDescent="0.3">
      <c r="A23" t="s">
        <v>648</v>
      </c>
      <c r="B23" s="4">
        <v>33</v>
      </c>
    </row>
    <row r="24" spans="1:12" x14ac:dyDescent="0.3">
      <c r="A24" t="s">
        <v>646</v>
      </c>
      <c r="B24" s="384">
        <f>(B22/B23)-1</f>
        <v>0.11086839696345829</v>
      </c>
    </row>
    <row r="25" spans="1:12" x14ac:dyDescent="0.3">
      <c r="A25" t="s">
        <v>647</v>
      </c>
      <c r="B25" s="375" t="str">
        <f>IF(B22&gt;B23,"BUY","SELL")</f>
        <v>BUY</v>
      </c>
    </row>
    <row r="30" spans="1:12" x14ac:dyDescent="0.3">
      <c r="A30" s="123"/>
      <c r="B30" s="97">
        <v>2017</v>
      </c>
      <c r="C30" s="120">
        <v>2018</v>
      </c>
      <c r="D30" s="120">
        <v>2019</v>
      </c>
      <c r="E30" s="120">
        <v>2020</v>
      </c>
      <c r="F30" s="121">
        <v>2021</v>
      </c>
      <c r="G30" s="121">
        <v>2022</v>
      </c>
      <c r="H30" s="119">
        <v>2023</v>
      </c>
      <c r="I30" s="119">
        <v>2024</v>
      </c>
      <c r="J30" s="119">
        <v>2025</v>
      </c>
      <c r="K30" s="119">
        <v>2026</v>
      </c>
      <c r="L30" s="119">
        <v>2027</v>
      </c>
    </row>
    <row r="31" spans="1:12" x14ac:dyDescent="0.3">
      <c r="A31" t="s">
        <v>5</v>
      </c>
      <c r="B31" s="3">
        <v>2877542</v>
      </c>
      <c r="C31" s="4">
        <f>+'P&amp;L-SOFP-Ratios'!B43</f>
        <v>4091207</v>
      </c>
      <c r="D31" s="4">
        <f>+'P&amp;L-SOFP-Ratios'!C43</f>
        <v>4494420</v>
      </c>
      <c r="E31" s="4">
        <f>+'P&amp;L-SOFP-Ratios'!D43</f>
        <v>5904129</v>
      </c>
      <c r="F31" s="4">
        <f>+'P&amp;L-SOFP-Ratios'!E43</f>
        <v>7280706</v>
      </c>
      <c r="G31" s="4">
        <f>+'P&amp;L-SOFP-Ratios'!F43</f>
        <v>16355777</v>
      </c>
      <c r="H31" s="204">
        <f>+'P&amp;L-SOFP-Ratios'!G43</f>
        <v>11512727.26799869</v>
      </c>
      <c r="I31" s="204">
        <f>+'P&amp;L-SOFP-Ratios'!H43</f>
        <v>13252487.850878688</v>
      </c>
      <c r="J31" s="204">
        <f>+'P&amp;L-SOFP-Ratios'!I43</f>
        <v>15958654.389085837</v>
      </c>
      <c r="K31" s="204">
        <f>+'P&amp;L-SOFP-Ratios'!J43</f>
        <v>19415784.077914551</v>
      </c>
      <c r="L31" s="204">
        <f>+'P&amp;L-SOFP-Ratios'!K43</f>
        <v>23016254.663770407</v>
      </c>
    </row>
    <row r="32" spans="1:12" x14ac:dyDescent="0.3">
      <c r="A32" t="s">
        <v>86</v>
      </c>
      <c r="B32" s="3">
        <v>3370099</v>
      </c>
      <c r="C32" s="4">
        <f>+'P&amp;L-SOFP-Ratios'!B44</f>
        <v>3494456</v>
      </c>
      <c r="D32" s="4">
        <f>+'P&amp;L-SOFP-Ratios'!C44</f>
        <v>4012653</v>
      </c>
      <c r="E32" s="4">
        <f>+'P&amp;L-SOFP-Ratios'!D44</f>
        <v>4136507</v>
      </c>
      <c r="F32" s="4">
        <f>+'P&amp;L-SOFP-Ratios'!E44</f>
        <v>7180865</v>
      </c>
      <c r="G32" s="4">
        <f>+'P&amp;L-SOFP-Ratios'!F44</f>
        <v>13336000</v>
      </c>
      <c r="H32" s="204">
        <f>+'P&amp;L-SOFP-Ratios'!G44</f>
        <v>8553433.1545494776</v>
      </c>
      <c r="I32" s="204">
        <f>+'P&amp;L-SOFP-Ratios'!H44</f>
        <v>9818777.4467674065</v>
      </c>
      <c r="J32" s="204">
        <f>+'P&amp;L-SOFP-Ratios'!I44</f>
        <v>11683112.706274429</v>
      </c>
      <c r="K32" s="204">
        <f>+'P&amp;L-SOFP-Ratios'!J44</f>
        <v>14229853.644834904</v>
      </c>
      <c r="L32" s="204">
        <f>+'P&amp;L-SOFP-Ratios'!K44</f>
        <v>15303483.463199658</v>
      </c>
    </row>
    <row r="33" spans="1:13" s="86" customFormat="1" x14ac:dyDescent="0.3">
      <c r="A33" s="91" t="s">
        <v>87</v>
      </c>
      <c r="B33" s="86" t="s">
        <v>101</v>
      </c>
      <c r="C33" s="23" t="str">
        <f>+'P&amp;L-SOFP-Ratios'!B45</f>
        <v>Nil</v>
      </c>
      <c r="D33" s="23">
        <f>+'P&amp;L-SOFP-Ratios'!C45</f>
        <v>8766</v>
      </c>
      <c r="E33" s="23">
        <f>+'P&amp;L-SOFP-Ratios'!D45</f>
        <v>18219</v>
      </c>
      <c r="F33" s="23">
        <f>+'P&amp;L-SOFP-Ratios'!E45</f>
        <v>6170</v>
      </c>
      <c r="G33" s="23" t="str">
        <f>+'P&amp;L-SOFP-Ratios'!F45</f>
        <v>Nil</v>
      </c>
      <c r="H33" s="269">
        <f>+'P&amp;L-SOFP-Ratios'!G45</f>
        <v>16333.31643477029</v>
      </c>
      <c r="I33" s="269">
        <f>+'P&amp;L-SOFP-Ratios'!H45</f>
        <v>18622.895748708885</v>
      </c>
      <c r="J33" s="269">
        <f>+'P&amp;L-SOFP-Ratios'!I45</f>
        <v>21864.843717432443</v>
      </c>
      <c r="K33" s="269">
        <f>+'P&amp;L-SOFP-Ratios'!J45</f>
        <v>21707.015671677633</v>
      </c>
      <c r="L33" s="269">
        <f>+'P&amp;L-SOFP-Ratios'!K45</f>
        <v>26769.634549652124</v>
      </c>
    </row>
    <row r="34" spans="1:13" x14ac:dyDescent="0.3">
      <c r="H34" s="94"/>
      <c r="I34" s="94"/>
      <c r="J34" s="94"/>
      <c r="K34" s="94"/>
      <c r="L34" s="94"/>
    </row>
    <row r="35" spans="1:13" x14ac:dyDescent="0.3">
      <c r="A35" t="s">
        <v>98</v>
      </c>
      <c r="B35" s="3">
        <v>6535</v>
      </c>
      <c r="C35" s="4">
        <f>+'P&amp;L-SOFP-Ratios'!B71</f>
        <v>14647</v>
      </c>
      <c r="D35" s="23" t="str">
        <f>+'P&amp;L-SOFP-Ratios'!C71</f>
        <v>Nil</v>
      </c>
      <c r="E35" s="4">
        <f>+'P&amp;L-SOFP-Ratios'!D71</f>
        <v>91594</v>
      </c>
      <c r="F35" s="4">
        <f>+'P&amp;L-SOFP-Ratios'!E71</f>
        <v>126421</v>
      </c>
      <c r="G35" s="4">
        <f>+'P&amp;L-SOFP-Ratios'!F71</f>
        <v>232725</v>
      </c>
      <c r="H35" s="204">
        <f>+'P&amp;L-SOFP-Ratios'!G71</f>
        <v>138870.81383229789</v>
      </c>
      <c r="I35" s="204">
        <f>+'P&amp;L-SOFP-Ratios'!H71</f>
        <v>158337.51209471474</v>
      </c>
      <c r="J35" s="204">
        <f>+'P&amp;L-SOFP-Ratios'!I71</f>
        <v>182024.3971941022</v>
      </c>
      <c r="K35" s="204">
        <f>+'P&amp;L-SOFP-Ratios'!J71</f>
        <v>210214.46268705986</v>
      </c>
      <c r="L35" s="204">
        <f>+'P&amp;L-SOFP-Ratios'!K71</f>
        <v>221758.16309152884</v>
      </c>
    </row>
    <row r="36" spans="1:13" x14ac:dyDescent="0.3">
      <c r="A36" t="s">
        <v>10</v>
      </c>
      <c r="B36" s="3">
        <v>3043719</v>
      </c>
      <c r="C36" s="4">
        <f>+'P&amp;L-SOFP-Ratios'!B72</f>
        <v>4486958</v>
      </c>
      <c r="D36" s="4">
        <f>+'P&amp;L-SOFP-Ratios'!C72</f>
        <v>4702611</v>
      </c>
      <c r="E36" s="4">
        <f>+'P&amp;L-SOFP-Ratios'!D72</f>
        <v>5642679</v>
      </c>
      <c r="F36" s="4">
        <f>+'P&amp;L-SOFP-Ratios'!E72</f>
        <v>8087052</v>
      </c>
      <c r="G36" s="4">
        <f>+'P&amp;L-SOFP-Ratios'!F72</f>
        <v>17623386</v>
      </c>
      <c r="H36" s="204">
        <f>+'P&amp;L-SOFP-Ratios'!G72</f>
        <v>10497309.202231232</v>
      </c>
      <c r="I36" s="204">
        <f>+'P&amp;L-SOFP-Ratios'!H72</f>
        <v>11950094.132828798</v>
      </c>
      <c r="J36" s="204">
        <f>+'P&amp;L-SOFP-Ratios'!I72</f>
        <v>14302557.304396152</v>
      </c>
      <c r="K36" s="204">
        <f>+'P&amp;L-SOFP-Ratios'!J72</f>
        <v>17139607.140415192</v>
      </c>
      <c r="L36" s="204">
        <f>+'P&amp;L-SOFP-Ratios'!K72</f>
        <v>18759572.854043163</v>
      </c>
    </row>
    <row r="37" spans="1:13" s="1" customFormat="1" x14ac:dyDescent="0.3">
      <c r="A37" s="1" t="s">
        <v>472</v>
      </c>
      <c r="B37" s="238">
        <f>SUM(B31:B33)-SUM(B35:B36)</f>
        <v>3197387</v>
      </c>
      <c r="C37" s="238">
        <f t="shared" ref="C37:L37" si="3">SUM(C31:C33)-SUM(C35:C36)</f>
        <v>3084058</v>
      </c>
      <c r="D37" s="238">
        <f t="shared" si="3"/>
        <v>3813228</v>
      </c>
      <c r="E37" s="238">
        <f t="shared" si="3"/>
        <v>4324582</v>
      </c>
      <c r="F37" s="238">
        <f t="shared" si="3"/>
        <v>6254268</v>
      </c>
      <c r="G37" s="238">
        <f t="shared" si="3"/>
        <v>11835666</v>
      </c>
      <c r="H37" s="270">
        <f t="shared" si="3"/>
        <v>9446313.7229194082</v>
      </c>
      <c r="I37" s="270">
        <f t="shared" si="3"/>
        <v>10981456.548471289</v>
      </c>
      <c r="J37" s="270">
        <f t="shared" si="3"/>
        <v>13179050.237487443</v>
      </c>
      <c r="K37" s="270">
        <f t="shared" si="3"/>
        <v>16317523.135318883</v>
      </c>
      <c r="L37" s="270">
        <f t="shared" si="3"/>
        <v>19365176.74438503</v>
      </c>
    </row>
    <row r="38" spans="1:13" x14ac:dyDescent="0.3">
      <c r="A38" s="1" t="s">
        <v>473</v>
      </c>
      <c r="C38" s="3">
        <f>+C37-B37</f>
        <v>-113329</v>
      </c>
      <c r="D38" s="3">
        <f t="shared" ref="D38:L38" si="4">+D37-C37</f>
        <v>729170</v>
      </c>
      <c r="E38" s="3">
        <f t="shared" si="4"/>
        <v>511354</v>
      </c>
      <c r="F38" s="3">
        <f t="shared" si="4"/>
        <v>1929686</v>
      </c>
      <c r="G38" s="3">
        <f t="shared" si="4"/>
        <v>5581398</v>
      </c>
      <c r="H38" s="245">
        <f t="shared" si="4"/>
        <v>-2389352.2770805918</v>
      </c>
      <c r="I38" s="271">
        <f t="shared" si="4"/>
        <v>1535142.8255518805</v>
      </c>
      <c r="J38" s="271">
        <f t="shared" si="4"/>
        <v>2197593.689016154</v>
      </c>
      <c r="K38" s="271">
        <f t="shared" si="4"/>
        <v>3138472.89783144</v>
      </c>
      <c r="L38" s="271">
        <f t="shared" si="4"/>
        <v>3047653.6090661474</v>
      </c>
    </row>
    <row r="39" spans="1:13" x14ac:dyDescent="0.3">
      <c r="A39" s="1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</row>
    <row r="40" spans="1:13" x14ac:dyDescent="0.3">
      <c r="A40" s="1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</row>
    <row r="41" spans="1:13" x14ac:dyDescent="0.3">
      <c r="A41" s="1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</row>
    <row r="43" spans="1:13" x14ac:dyDescent="0.3">
      <c r="A43" s="96" t="s">
        <v>545</v>
      </c>
      <c r="C43" s="2"/>
    </row>
    <row r="45" spans="1:13" x14ac:dyDescent="0.3">
      <c r="A45" t="s">
        <v>551</v>
      </c>
    </row>
    <row r="47" spans="1:13" x14ac:dyDescent="0.3">
      <c r="A47" s="1" t="s">
        <v>533</v>
      </c>
      <c r="B47" s="67">
        <f>+'SOFP working'!F55</f>
        <v>2.8750000000000001E-2</v>
      </c>
      <c r="C47" s="2"/>
    </row>
    <row r="48" spans="1:13" x14ac:dyDescent="0.3">
      <c r="A48" s="1"/>
      <c r="B48" s="67"/>
      <c r="C48" s="2"/>
    </row>
    <row r="49" spans="1:6" x14ac:dyDescent="0.3">
      <c r="A49" t="s">
        <v>534</v>
      </c>
      <c r="B49" s="67">
        <f>+AVERAGE(N3:R3)</f>
        <v>0.1636</v>
      </c>
      <c r="C49" s="2"/>
    </row>
    <row r="50" spans="1:6" x14ac:dyDescent="0.3">
      <c r="A50" s="376" t="s">
        <v>535</v>
      </c>
      <c r="B50" s="377">
        <f>B47*(1-B49)</f>
        <v>2.4046500000000002E-2</v>
      </c>
      <c r="C50" s="2"/>
    </row>
    <row r="51" spans="1:6" x14ac:dyDescent="0.3">
      <c r="B51" s="2"/>
      <c r="C51" s="2"/>
    </row>
    <row r="52" spans="1:6" x14ac:dyDescent="0.3">
      <c r="A52" s="96" t="s">
        <v>536</v>
      </c>
      <c r="B52" s="2"/>
      <c r="C52" s="2"/>
    </row>
    <row r="53" spans="1:6" x14ac:dyDescent="0.3">
      <c r="A53" t="s">
        <v>537</v>
      </c>
      <c r="B53" s="261">
        <v>0.3075</v>
      </c>
      <c r="C53" s="2" t="s">
        <v>538</v>
      </c>
    </row>
    <row r="54" spans="1:6" x14ac:dyDescent="0.3">
      <c r="A54" t="s">
        <v>278</v>
      </c>
      <c r="B54" s="378">
        <v>0.748</v>
      </c>
      <c r="C54" s="2" t="s">
        <v>532</v>
      </c>
    </row>
    <row r="55" spans="1:6" x14ac:dyDescent="0.3">
      <c r="A55" t="s">
        <v>539</v>
      </c>
      <c r="B55" s="261">
        <v>0.57140000000000002</v>
      </c>
      <c r="C55" s="2"/>
      <c r="F55" s="261"/>
    </row>
    <row r="56" spans="1:6" x14ac:dyDescent="0.3">
      <c r="A56" s="379" t="s">
        <v>649</v>
      </c>
      <c r="B56" s="380">
        <f>(B53)+((B54)*(B55-B53))</f>
        <v>0.50489720000000005</v>
      </c>
      <c r="C56" s="2"/>
    </row>
    <row r="57" spans="1:6" x14ac:dyDescent="0.3">
      <c r="A57" s="1"/>
      <c r="B57" s="67"/>
      <c r="C57" s="2"/>
    </row>
    <row r="58" spans="1:6" x14ac:dyDescent="0.3">
      <c r="A58" s="376" t="s">
        <v>654</v>
      </c>
      <c r="B58" s="377">
        <v>3.1199999999999999E-2</v>
      </c>
    </row>
    <row r="59" spans="1:6" x14ac:dyDescent="0.3">
      <c r="B59" s="2"/>
      <c r="C59" s="2"/>
    </row>
    <row r="60" spans="1:6" x14ac:dyDescent="0.3">
      <c r="A60" s="96" t="s">
        <v>540</v>
      </c>
      <c r="B60" s="2"/>
      <c r="C60" s="2"/>
    </row>
    <row r="61" spans="1:6" x14ac:dyDescent="0.3">
      <c r="A61" t="s">
        <v>552</v>
      </c>
      <c r="B61" s="2"/>
      <c r="C61" s="2"/>
    </row>
    <row r="62" spans="1:6" x14ac:dyDescent="0.3">
      <c r="A62" s="96"/>
      <c r="B62" s="2"/>
      <c r="C62" s="497" t="s">
        <v>541</v>
      </c>
    </row>
    <row r="63" spans="1:6" x14ac:dyDescent="0.3">
      <c r="A63" s="389" t="s">
        <v>542</v>
      </c>
      <c r="B63" s="138">
        <f>+'P&amp;L-SOFP-Ratios'!F63+'P&amp;L-SOFP-Ratios'!F69</f>
        <v>11494713</v>
      </c>
      <c r="C63" s="381">
        <f>B63/B65</f>
        <v>0.46915483981931433</v>
      </c>
    </row>
    <row r="64" spans="1:6" x14ac:dyDescent="0.3">
      <c r="A64" s="389" t="s">
        <v>543</v>
      </c>
      <c r="B64" s="138">
        <f>+'P&amp;L-SOFP-Ratios'!F60-'P&amp;L-SOFP-Ratios'!F57</f>
        <v>13006181</v>
      </c>
      <c r="C64" s="381">
        <f>B64/B65</f>
        <v>0.53084516018068562</v>
      </c>
    </row>
    <row r="65" spans="1:3" x14ac:dyDescent="0.3">
      <c r="A65" t="s">
        <v>181</v>
      </c>
      <c r="B65" s="2">
        <f>B63+B64</f>
        <v>24500894</v>
      </c>
    </row>
    <row r="66" spans="1:3" x14ac:dyDescent="0.3">
      <c r="B66" s="2"/>
      <c r="C66" s="2"/>
    </row>
    <row r="67" spans="1:3" ht="16.2" thickBot="1" x14ac:dyDescent="0.35">
      <c r="A67" s="382" t="s">
        <v>544</v>
      </c>
      <c r="B67" s="383">
        <f>(C63*B50)+(C64*B56)</f>
        <v>0.27930376686449482</v>
      </c>
      <c r="C67" s="2"/>
    </row>
    <row r="68" spans="1:3" x14ac:dyDescent="0.3">
      <c r="B68" s="2"/>
      <c r="C68" s="2"/>
    </row>
    <row r="69" spans="1:3" x14ac:dyDescent="0.3">
      <c r="B69" s="2"/>
      <c r="C69" s="2"/>
    </row>
    <row r="70" spans="1:3" x14ac:dyDescent="0.3">
      <c r="C70" s="2"/>
    </row>
  </sheetData>
  <mergeCells count="2">
    <mergeCell ref="B1:F1"/>
    <mergeCell ref="G1:K1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5"/>
  <sheetViews>
    <sheetView tabSelected="1" workbookViewId="0">
      <selection activeCell="A2" sqref="A2:L17"/>
    </sheetView>
  </sheetViews>
  <sheetFormatPr defaultRowHeight="14.4" x14ac:dyDescent="0.3"/>
  <cols>
    <col min="1" max="1" width="31.33203125" bestFit="1" customWidth="1"/>
    <col min="2" max="2" width="14.33203125" bestFit="1" customWidth="1"/>
    <col min="3" max="3" width="10.5546875" bestFit="1" customWidth="1"/>
    <col min="4" max="6" width="14" bestFit="1" customWidth="1"/>
    <col min="7" max="7" width="13.5546875" bestFit="1" customWidth="1"/>
    <col min="8" max="11" width="11.5546875" bestFit="1" customWidth="1"/>
    <col min="12" max="12" width="15.88671875" customWidth="1"/>
    <col min="13" max="13" width="14" bestFit="1" customWidth="1"/>
  </cols>
  <sheetData>
    <row r="2" spans="1:12" x14ac:dyDescent="0.3">
      <c r="A2" s="498"/>
      <c r="B2" s="499">
        <v>2018</v>
      </c>
      <c r="C2" s="499">
        <v>2019</v>
      </c>
      <c r="D2" s="499">
        <v>2020</v>
      </c>
      <c r="E2" s="499">
        <v>2021</v>
      </c>
      <c r="F2" s="499">
        <v>2022</v>
      </c>
      <c r="G2" s="499">
        <v>2023</v>
      </c>
      <c r="H2" s="499">
        <v>2024</v>
      </c>
      <c r="I2" s="499">
        <v>2025</v>
      </c>
      <c r="J2" s="499">
        <v>2026</v>
      </c>
      <c r="K2" s="499">
        <v>2027</v>
      </c>
      <c r="L2" s="386" t="s">
        <v>653</v>
      </c>
    </row>
    <row r="3" spans="1:12" x14ac:dyDescent="0.3">
      <c r="A3" s="386" t="s">
        <v>275</v>
      </c>
      <c r="B3" s="508">
        <f>-'Changes in Equity'!B42</f>
        <v>1368816</v>
      </c>
      <c r="C3" s="508">
        <f>-'Changes in Equity'!C42</f>
        <v>1228424</v>
      </c>
      <c r="D3" s="508">
        <f>-'Changes in Equity'!D42</f>
        <v>1684696</v>
      </c>
      <c r="E3" s="508">
        <f>-'Changes in Equity'!E42</f>
        <v>1170382</v>
      </c>
      <c r="F3" s="508">
        <f>-'Changes in Equity'!F42</f>
        <v>1433480</v>
      </c>
      <c r="G3" s="502">
        <f>-'Changes in Equity'!G42</f>
        <v>2576711.5909295185</v>
      </c>
      <c r="H3" s="502">
        <f>-'Changes in Equity'!H42</f>
        <v>2831637.8661803277</v>
      </c>
      <c r="I3" s="502">
        <f>-'Changes in Equity'!I42</f>
        <v>3283950.6197212641</v>
      </c>
      <c r="J3" s="502">
        <f>-'Changes in Equity'!J42</f>
        <v>3790732.354342828</v>
      </c>
      <c r="K3" s="502">
        <f>-'Changes in Equity'!K42</f>
        <v>4145247.699442477</v>
      </c>
      <c r="L3" s="386"/>
    </row>
    <row r="4" spans="1:12" x14ac:dyDescent="0.3">
      <c r="A4" s="386" t="s">
        <v>276</v>
      </c>
      <c r="B4" s="352">
        <f>+'P&amp;L-SOFP-Ratios'!B23</f>
        <v>1.95</v>
      </c>
      <c r="C4" s="352">
        <f>+'P&amp;L-SOFP-Ratios'!C23</f>
        <v>1.75</v>
      </c>
      <c r="D4" s="352">
        <f>+'P&amp;L-SOFP-Ratios'!D23</f>
        <v>2.4</v>
      </c>
      <c r="E4" s="352">
        <f>+'P&amp;L-SOFP-Ratios'!E23</f>
        <v>2.8</v>
      </c>
      <c r="F4" s="352">
        <f>+'P&amp;L-SOFP-Ratios'!F23</f>
        <v>2.35</v>
      </c>
      <c r="G4" s="165">
        <f>+G3/'P&amp;L-SOFP-Ratios'!G161</f>
        <v>3.6004538322220352</v>
      </c>
      <c r="H4" s="165">
        <f>+H3/'P&amp;L-SOFP-Ratios'!H161</f>
        <v>3.956663773564272</v>
      </c>
      <c r="I4" s="165">
        <f>+I3/'P&amp;L-SOFP-Ratios'!I161</f>
        <v>4.5886829691087341</v>
      </c>
      <c r="J4" s="165">
        <f>+J3/'P&amp;L-SOFP-Ratios'!J161</f>
        <v>5.2968119832139262</v>
      </c>
      <c r="K4" s="165">
        <f>+K3/'P&amp;L-SOFP-Ratios'!K161</f>
        <v>5.7921783010194421</v>
      </c>
      <c r="L4" s="512">
        <f>+K4*(1+I6)</f>
        <v>6.9953533019958041</v>
      </c>
    </row>
    <row r="5" spans="1:12" x14ac:dyDescent="0.3">
      <c r="A5" s="386" t="s">
        <v>650</v>
      </c>
      <c r="B5" s="352"/>
      <c r="C5" s="352"/>
      <c r="D5" s="352"/>
      <c r="E5" s="352"/>
      <c r="F5" s="352"/>
      <c r="G5" s="503">
        <f>+(G4/F4)-1</f>
        <v>0.53210801371150418</v>
      </c>
      <c r="H5" s="503">
        <f t="shared" ref="H5:K5" si="0">+(H4/G4)-1</f>
        <v>9.8934733770048133E-2</v>
      </c>
      <c r="I5" s="503">
        <f t="shared" si="0"/>
        <v>0.15973538104682605</v>
      </c>
      <c r="J5" s="503">
        <f t="shared" si="0"/>
        <v>0.15432075366120412</v>
      </c>
      <c r="K5" s="503">
        <f t="shared" si="0"/>
        <v>9.3521597401489132E-2</v>
      </c>
      <c r="L5" s="386"/>
    </row>
    <row r="6" spans="1:12" x14ac:dyDescent="0.3">
      <c r="A6" s="386" t="s">
        <v>651</v>
      </c>
      <c r="B6" s="352"/>
      <c r="C6" s="352"/>
      <c r="D6" s="352"/>
      <c r="E6" s="352"/>
      <c r="F6" s="352"/>
      <c r="G6" s="504"/>
      <c r="H6" s="504"/>
      <c r="I6" s="504">
        <f>+AVERAGE(G5:K5)</f>
        <v>0.20772409591821434</v>
      </c>
      <c r="J6" s="504"/>
      <c r="K6" s="504"/>
      <c r="L6" s="386"/>
    </row>
    <row r="7" spans="1:12" x14ac:dyDescent="0.3">
      <c r="A7" s="386" t="s">
        <v>277</v>
      </c>
      <c r="B7" s="386"/>
      <c r="C7" s="386"/>
      <c r="D7" s="386"/>
      <c r="E7" s="386"/>
      <c r="F7" s="386"/>
      <c r="G7" s="505">
        <v>0.3075</v>
      </c>
      <c r="H7" s="505">
        <v>0.3075</v>
      </c>
      <c r="I7" s="505">
        <v>0.3075</v>
      </c>
      <c r="J7" s="505">
        <v>0.3075</v>
      </c>
      <c r="K7" s="505">
        <v>0.3075</v>
      </c>
      <c r="L7" s="513">
        <v>0.3075</v>
      </c>
    </row>
    <row r="8" spans="1:12" x14ac:dyDescent="0.3">
      <c r="A8" s="386" t="s">
        <v>632</v>
      </c>
      <c r="B8" s="386"/>
      <c r="C8" s="386"/>
      <c r="D8" s="386"/>
      <c r="E8" s="386"/>
      <c r="F8" s="386"/>
      <c r="G8" s="505">
        <f>+FCFF!B55-FCFF!B53</f>
        <v>0.26390000000000002</v>
      </c>
      <c r="H8" s="505">
        <v>0.26390000000000002</v>
      </c>
      <c r="I8" s="505">
        <v>0.26390000000000002</v>
      </c>
      <c r="J8" s="505">
        <v>0.26390000000000002</v>
      </c>
      <c r="K8" s="505">
        <v>0.26390000000000002</v>
      </c>
      <c r="L8" s="513">
        <v>0.26390000000000002</v>
      </c>
    </row>
    <row r="9" spans="1:12" x14ac:dyDescent="0.3">
      <c r="A9" s="386" t="s">
        <v>278</v>
      </c>
      <c r="B9" s="386"/>
      <c r="C9" s="386"/>
      <c r="D9" s="386"/>
      <c r="E9" s="386"/>
      <c r="F9" s="386"/>
      <c r="G9" s="165">
        <v>0.748</v>
      </c>
      <c r="H9" s="165">
        <v>0.748</v>
      </c>
      <c r="I9" s="165">
        <v>0.748</v>
      </c>
      <c r="J9" s="165">
        <v>0.748</v>
      </c>
      <c r="K9" s="165">
        <v>0.748</v>
      </c>
      <c r="L9" s="352">
        <v>0.748</v>
      </c>
    </row>
    <row r="10" spans="1:12" ht="15" thickBot="1" x14ac:dyDescent="0.35">
      <c r="A10" s="386" t="s">
        <v>548</v>
      </c>
      <c r="B10" s="386"/>
      <c r="C10" s="386"/>
      <c r="D10" s="386"/>
      <c r="E10" s="386"/>
      <c r="F10" s="386"/>
      <c r="G10" s="505">
        <f>+(G9*G8)+G7</f>
        <v>0.50489720000000005</v>
      </c>
      <c r="H10" s="505">
        <f t="shared" ref="H10:K10" si="1">+(H9*H8)+H7</f>
        <v>0.50489720000000005</v>
      </c>
      <c r="I10" s="505">
        <f t="shared" si="1"/>
        <v>0.50489720000000005</v>
      </c>
      <c r="J10" s="505">
        <f t="shared" si="1"/>
        <v>0.50489720000000005</v>
      </c>
      <c r="K10" s="505">
        <f t="shared" si="1"/>
        <v>0.50489720000000005</v>
      </c>
      <c r="L10" s="513">
        <v>0.50489720000000005</v>
      </c>
    </row>
    <row r="11" spans="1:12" ht="15" thickBot="1" x14ac:dyDescent="0.35">
      <c r="A11" s="509" t="s">
        <v>550</v>
      </c>
      <c r="B11" s="509"/>
      <c r="C11" s="509"/>
      <c r="D11" s="509"/>
      <c r="E11" s="509"/>
      <c r="F11" s="509"/>
      <c r="G11" s="506">
        <f>+G4/(1+G10)</f>
        <v>2.3924915484074494</v>
      </c>
      <c r="H11" s="507">
        <f>+H4/(1+H10)^2</f>
        <v>1.7470908064658708</v>
      </c>
      <c r="I11" s="507">
        <f>+I4/(1+I10)^3</f>
        <v>1.3463796877023251</v>
      </c>
      <c r="J11" s="507">
        <f>+J4/(1+J10)^4</f>
        <v>1.0327310169908515</v>
      </c>
      <c r="K11" s="507">
        <f>+K4/(1+K10)^5</f>
        <v>0.75042579080212268</v>
      </c>
      <c r="L11" s="514">
        <f>+B12/(1+L10)^5</f>
        <v>1.9082455620050371</v>
      </c>
    </row>
    <row r="12" spans="1:12" ht="15" thickTop="1" x14ac:dyDescent="0.3">
      <c r="A12" s="517" t="s">
        <v>652</v>
      </c>
      <c r="B12" s="517">
        <f>+L4/(L10-K16)</f>
        <v>14.728836179054952</v>
      </c>
    </row>
    <row r="13" spans="1:12" ht="15.6" x14ac:dyDescent="0.3">
      <c r="A13" s="510" t="s">
        <v>645</v>
      </c>
      <c r="B13" s="510">
        <f>+SUM(G11:L11)</f>
        <v>9.177364412373656</v>
      </c>
    </row>
    <row r="15" spans="1:12" x14ac:dyDescent="0.3">
      <c r="A15" s="498"/>
      <c r="B15" s="499">
        <v>2018</v>
      </c>
      <c r="C15" s="499">
        <v>2019</v>
      </c>
      <c r="D15" s="499">
        <v>2020</v>
      </c>
      <c r="E15" s="499">
        <v>2021</v>
      </c>
      <c r="F15" s="499">
        <v>2022</v>
      </c>
      <c r="G15" s="499">
        <v>2023</v>
      </c>
      <c r="H15" s="499">
        <v>2024</v>
      </c>
      <c r="I15" s="499">
        <v>2025</v>
      </c>
      <c r="J15" s="499">
        <v>2026</v>
      </c>
      <c r="K15" s="499">
        <v>2027</v>
      </c>
    </row>
    <row r="16" spans="1:12" x14ac:dyDescent="0.3">
      <c r="A16" t="s">
        <v>289</v>
      </c>
      <c r="B16" s="500">
        <f>+B17*'P&amp;L-SOFP-Ratios'!B94</f>
        <v>1.9518627736013625E-2</v>
      </c>
      <c r="C16" s="500">
        <f>+C17*'P&amp;L-SOFP-Ratios'!C94</f>
        <v>4.5235509152256097E-2</v>
      </c>
      <c r="D16" s="500">
        <f>+D17*'P&amp;L-SOFP-Ratios'!D94</f>
        <v>4.4673982274373573E-2</v>
      </c>
      <c r="E16" s="500">
        <f>+E17*'P&amp;L-SOFP-Ratios'!E94</f>
        <v>9.5061624982887005E-3</v>
      </c>
      <c r="F16" s="500">
        <f>+F17*'P&amp;L-SOFP-Ratios'!F94</f>
        <v>3.0094448110702988E-2</v>
      </c>
      <c r="G16" s="501">
        <f>+G17*'P&amp;L-SOFP-Ratios'!G94</f>
        <v>2.5439697187662296E-2</v>
      </c>
      <c r="H16" s="501">
        <f>+H17*'P&amp;L-SOFP-Ratios'!H94</f>
        <v>2.7811544175257653E-2</v>
      </c>
      <c r="I16" s="501">
        <f>+I17*'P&amp;L-SOFP-Ratios'!I94</f>
        <v>2.6501401793517412E-2</v>
      </c>
      <c r="J16" s="501">
        <f>+J17*'P&amp;L-SOFP-Ratios'!J94</f>
        <v>2.5959309351777458E-2</v>
      </c>
      <c r="K16" s="501">
        <f>+K17*'P&amp;L-SOFP-Ratios'!K94</f>
        <v>2.9954494618871428E-2</v>
      </c>
    </row>
    <row r="17" spans="1:11" x14ac:dyDescent="0.3">
      <c r="A17" t="s">
        <v>290</v>
      </c>
      <c r="B17" s="149">
        <f>1-'P&amp;L-SOFP-Ratios'!B155</f>
        <v>0.14309485412696088</v>
      </c>
      <c r="C17" s="149">
        <f>1-'P&amp;L-SOFP-Ratios'!C155</f>
        <v>0.33889828306299452</v>
      </c>
      <c r="D17" s="149">
        <f>1-'P&amp;L-SOFP-Ratios'!D155</f>
        <v>0.29326784641561487</v>
      </c>
      <c r="E17" s="149">
        <f>1-'P&amp;L-SOFP-Ratios'!E155</f>
        <v>7.8925706743590673E-2</v>
      </c>
      <c r="F17" s="149">
        <f>1-'P&amp;L-SOFP-Ratios'!F155</f>
        <v>0.33558200493827162</v>
      </c>
      <c r="G17" s="511">
        <f>1-'P&amp;L-SOFP-Ratios'!G155</f>
        <v>0.23795373905748662</v>
      </c>
      <c r="H17" s="511">
        <f>1-'P&amp;L-SOFP-Ratios'!H155</f>
        <v>0.25692551604359171</v>
      </c>
      <c r="I17" s="511">
        <f>1-'P&amp;L-SOFP-Ratios'!I155</f>
        <v>0.24053096263971108</v>
      </c>
      <c r="J17" s="511">
        <f>1-'P&amp;L-SOFP-Ratios'!J155</f>
        <v>0.22998358588453027</v>
      </c>
      <c r="K17" s="511">
        <f>1-'P&amp;L-SOFP-Ratios'!K155</f>
        <v>0.26019516171271828</v>
      </c>
    </row>
    <row r="23" spans="1:11" x14ac:dyDescent="0.3">
      <c r="A23" t="s">
        <v>548</v>
      </c>
      <c r="B23" t="s">
        <v>549</v>
      </c>
    </row>
    <row r="25" spans="1:11" x14ac:dyDescent="0.3">
      <c r="A25" t="s">
        <v>546</v>
      </c>
      <c r="B25" t="s">
        <v>547</v>
      </c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E127"/>
  <sheetViews>
    <sheetView zoomScale="85" zoomScaleNormal="85" workbookViewId="0">
      <pane xSplit="1" topLeftCell="AG1" activePane="topRight" state="frozen"/>
      <selection activeCell="A47" sqref="A47"/>
      <selection pane="topRight" activeCell="AR32" sqref="AR32"/>
    </sheetView>
  </sheetViews>
  <sheetFormatPr defaultRowHeight="14.4" x14ac:dyDescent="0.3"/>
  <cols>
    <col min="1" max="1" width="42.109375" customWidth="1"/>
    <col min="2" max="2" width="15.6640625" customWidth="1"/>
    <col min="3" max="3" width="19.33203125" customWidth="1"/>
    <col min="4" max="4" width="19.44140625" customWidth="1"/>
    <col min="5" max="5" width="14.109375" customWidth="1"/>
    <col min="6" max="6" width="16.33203125" customWidth="1"/>
    <col min="7" max="7" width="15.88671875" customWidth="1"/>
    <col min="8" max="8" width="15.33203125" customWidth="1"/>
    <col min="9" max="9" width="16.88671875" bestFit="1" customWidth="1"/>
    <col min="10" max="10" width="11.5546875" bestFit="1" customWidth="1"/>
    <col min="11" max="11" width="17.6640625" customWidth="1"/>
    <col min="12" max="12" width="14.109375" customWidth="1"/>
    <col min="13" max="13" width="17.6640625" customWidth="1"/>
    <col min="14" max="14" width="16.44140625" customWidth="1"/>
    <col min="15" max="15" width="14.6640625" customWidth="1"/>
    <col min="16" max="16" width="16.5546875" customWidth="1"/>
    <col min="17" max="17" width="15.6640625" customWidth="1"/>
    <col min="18" max="18" width="16.33203125" customWidth="1"/>
    <col min="19" max="19" width="15" customWidth="1"/>
    <col min="20" max="20" width="13.33203125" customWidth="1"/>
    <col min="22" max="22" width="10.88671875" customWidth="1"/>
    <col min="23" max="23" width="19.33203125" customWidth="1"/>
    <col min="24" max="24" width="15.33203125" customWidth="1"/>
    <col min="25" max="25" width="15" customWidth="1"/>
    <col min="26" max="26" width="16.33203125" customWidth="1"/>
    <col min="27" max="27" width="15.88671875" customWidth="1"/>
    <col min="28" max="29" width="15" customWidth="1"/>
    <col min="30" max="30" width="16.6640625" customWidth="1"/>
    <col min="32" max="32" width="12.6640625" customWidth="1"/>
    <col min="33" max="33" width="17.44140625" customWidth="1"/>
    <col min="34" max="34" width="18" customWidth="1"/>
    <col min="35" max="35" width="15.33203125" customWidth="1"/>
    <col min="36" max="36" width="19.33203125" customWidth="1"/>
    <col min="37" max="37" width="16.33203125" customWidth="1"/>
    <col min="38" max="38" width="16.88671875" customWidth="1"/>
    <col min="39" max="39" width="14.88671875" customWidth="1"/>
    <col min="40" max="40" width="12.5546875" customWidth="1"/>
    <col min="42" max="42" width="15" customWidth="1"/>
    <col min="43" max="43" width="17.6640625" customWidth="1"/>
    <col min="44" max="44" width="16.6640625" customWidth="1"/>
    <col min="45" max="45" width="15.5546875" customWidth="1"/>
    <col min="46" max="46" width="21.33203125" customWidth="1"/>
    <col min="47" max="47" width="16.5546875" customWidth="1"/>
    <col min="48" max="48" width="18.6640625" customWidth="1"/>
    <col min="49" max="49" width="15.5546875" customWidth="1"/>
  </cols>
  <sheetData>
    <row r="2" spans="1:50" x14ac:dyDescent="0.3">
      <c r="A2" s="283" t="s">
        <v>553</v>
      </c>
    </row>
    <row r="4" spans="1:50" x14ac:dyDescent="0.3">
      <c r="A4" s="519" t="s">
        <v>554</v>
      </c>
      <c r="B4" s="523" t="s">
        <v>555</v>
      </c>
      <c r="C4" s="524"/>
      <c r="D4" s="524"/>
      <c r="E4" s="524"/>
      <c r="F4" s="524"/>
      <c r="G4" s="524"/>
      <c r="H4" s="524"/>
      <c r="I4" s="539" t="s">
        <v>556</v>
      </c>
      <c r="J4" s="538"/>
      <c r="L4" s="519" t="s">
        <v>557</v>
      </c>
      <c r="M4" s="519"/>
      <c r="N4" s="519"/>
      <c r="O4" s="519"/>
      <c r="P4" s="519"/>
      <c r="Q4" s="519"/>
      <c r="R4" s="519"/>
      <c r="S4" s="540" t="s">
        <v>556</v>
      </c>
      <c r="T4" s="540"/>
      <c r="V4" s="519" t="s">
        <v>558</v>
      </c>
      <c r="W4" s="519"/>
      <c r="X4" s="519"/>
      <c r="Y4" s="519"/>
      <c r="Z4" s="519"/>
      <c r="AA4" s="519"/>
      <c r="AB4" s="519"/>
      <c r="AC4" s="537" t="s">
        <v>556</v>
      </c>
      <c r="AD4" s="538"/>
      <c r="AF4" s="519" t="s">
        <v>559</v>
      </c>
      <c r="AG4" s="519"/>
      <c r="AH4" s="519"/>
      <c r="AI4" s="519"/>
      <c r="AJ4" s="519"/>
      <c r="AK4" s="519"/>
      <c r="AL4" s="523"/>
      <c r="AM4" s="539" t="s">
        <v>556</v>
      </c>
      <c r="AN4" s="538"/>
      <c r="AP4" s="519" t="s">
        <v>560</v>
      </c>
      <c r="AQ4" s="519"/>
      <c r="AR4" s="519"/>
      <c r="AS4" s="519"/>
      <c r="AT4" s="519"/>
      <c r="AU4" s="519"/>
      <c r="AV4" s="519"/>
      <c r="AW4" s="537" t="s">
        <v>556</v>
      </c>
      <c r="AX4" s="538"/>
    </row>
    <row r="5" spans="1:50" x14ac:dyDescent="0.3">
      <c r="A5" s="519"/>
      <c r="B5" s="284" t="s">
        <v>561</v>
      </c>
      <c r="C5" s="284" t="s">
        <v>562</v>
      </c>
      <c r="D5" s="284" t="s">
        <v>563</v>
      </c>
      <c r="E5" s="284" t="s">
        <v>564</v>
      </c>
      <c r="F5" s="284" t="s">
        <v>565</v>
      </c>
      <c r="G5" s="284" t="s">
        <v>566</v>
      </c>
      <c r="H5" s="284" t="s">
        <v>567</v>
      </c>
      <c r="I5" s="285" t="s">
        <v>568</v>
      </c>
      <c r="J5" s="285" t="s">
        <v>569</v>
      </c>
      <c r="L5" s="284" t="s">
        <v>561</v>
      </c>
      <c r="M5" s="284" t="s">
        <v>562</v>
      </c>
      <c r="N5" s="284" t="s">
        <v>570</v>
      </c>
      <c r="O5" s="284" t="s">
        <v>564</v>
      </c>
      <c r="P5" s="284" t="s">
        <v>565</v>
      </c>
      <c r="Q5" s="284" t="s">
        <v>566</v>
      </c>
      <c r="R5" s="284" t="s">
        <v>567</v>
      </c>
      <c r="S5" s="284" t="s">
        <v>568</v>
      </c>
      <c r="T5" s="284" t="s">
        <v>569</v>
      </c>
      <c r="V5" s="284" t="s">
        <v>561</v>
      </c>
      <c r="W5" s="284" t="s">
        <v>562</v>
      </c>
      <c r="X5" s="284" t="s">
        <v>563</v>
      </c>
      <c r="Y5" s="284" t="s">
        <v>564</v>
      </c>
      <c r="Z5" s="284" t="s">
        <v>565</v>
      </c>
      <c r="AA5" s="284" t="s">
        <v>566</v>
      </c>
      <c r="AB5" s="284" t="s">
        <v>567</v>
      </c>
      <c r="AC5" s="284" t="s">
        <v>568</v>
      </c>
      <c r="AD5" s="284" t="s">
        <v>569</v>
      </c>
      <c r="AF5" s="284" t="s">
        <v>561</v>
      </c>
      <c r="AG5" s="284" t="s">
        <v>562</v>
      </c>
      <c r="AH5" s="284" t="s">
        <v>570</v>
      </c>
      <c r="AI5" s="284" t="s">
        <v>564</v>
      </c>
      <c r="AJ5" s="284" t="s">
        <v>565</v>
      </c>
      <c r="AK5" s="284" t="s">
        <v>566</v>
      </c>
      <c r="AL5" s="284" t="s">
        <v>567</v>
      </c>
      <c r="AM5" s="285" t="s">
        <v>568</v>
      </c>
      <c r="AN5" s="285" t="s">
        <v>569</v>
      </c>
      <c r="AP5" s="284" t="s">
        <v>561</v>
      </c>
      <c r="AQ5" s="284" t="s">
        <v>562</v>
      </c>
      <c r="AR5" s="284" t="s">
        <v>563</v>
      </c>
      <c r="AS5" s="284" t="s">
        <v>564</v>
      </c>
      <c r="AT5" s="284" t="s">
        <v>565</v>
      </c>
      <c r="AU5" s="284" t="s">
        <v>566</v>
      </c>
      <c r="AV5" s="284" t="s">
        <v>567</v>
      </c>
      <c r="AW5" s="284" t="s">
        <v>568</v>
      </c>
      <c r="AX5" s="284" t="s">
        <v>569</v>
      </c>
    </row>
    <row r="6" spans="1:50" x14ac:dyDescent="0.3">
      <c r="A6" s="286" t="s">
        <v>139</v>
      </c>
      <c r="B6" s="287">
        <v>31.9</v>
      </c>
      <c r="C6" s="287">
        <v>701956.58</v>
      </c>
      <c r="D6" s="288">
        <f>C6*B6</f>
        <v>22392414.901999999</v>
      </c>
      <c r="E6" s="288">
        <v>6326351</v>
      </c>
      <c r="F6" s="288">
        <f>D6+E6</f>
        <v>28718765.901999999</v>
      </c>
      <c r="G6" s="288">
        <f>'P&amp;L-SOFP-Ratios'!B5</f>
        <v>24647488</v>
      </c>
      <c r="H6" s="288">
        <v>2921214</v>
      </c>
      <c r="I6" s="288">
        <f>'P&amp;L-SOFP-Ratios'!B18</f>
        <v>1596114</v>
      </c>
      <c r="J6" s="288">
        <v>2.2799999999999998</v>
      </c>
      <c r="K6" s="4"/>
      <c r="L6" s="287">
        <v>30.4</v>
      </c>
      <c r="M6" s="287">
        <v>701956.58</v>
      </c>
      <c r="N6" s="288">
        <f>L6*M6</f>
        <v>21339480.031999998</v>
      </c>
      <c r="O6" s="288">
        <v>0</v>
      </c>
      <c r="P6" s="288">
        <f>N6+O6</f>
        <v>21339480.031999998</v>
      </c>
      <c r="Q6" s="288">
        <f>'P&amp;L-SOFP-Ratios'!C5</f>
        <v>31746592</v>
      </c>
      <c r="R6" s="288">
        <v>3628767</v>
      </c>
      <c r="S6" s="288">
        <f>'P&amp;L-SOFP-Ratios'!C18</f>
        <v>1858717</v>
      </c>
      <c r="T6" s="288">
        <v>2.65</v>
      </c>
      <c r="U6" s="4"/>
      <c r="V6" s="287">
        <v>23.3</v>
      </c>
      <c r="W6" s="287">
        <v>701956.58</v>
      </c>
      <c r="X6" s="288">
        <f>V6*W6</f>
        <v>16355588.313999999</v>
      </c>
      <c r="Y6" s="288">
        <v>0</v>
      </c>
      <c r="Z6" s="288">
        <f>X6+Y6</f>
        <v>16355588.313999999</v>
      </c>
      <c r="AA6" s="288">
        <f>'P&amp;L-SOFP-Ratios'!D5</f>
        <v>33276976</v>
      </c>
      <c r="AB6" s="288">
        <v>4054387</v>
      </c>
      <c r="AC6" s="288">
        <f>'P&amp;L-SOFP-Ratios'!D18</f>
        <v>2383784</v>
      </c>
      <c r="AD6" s="288">
        <v>3.4</v>
      </c>
      <c r="AE6" s="4"/>
      <c r="AF6" s="287">
        <v>40</v>
      </c>
      <c r="AG6" s="287">
        <v>716739.97499999998</v>
      </c>
      <c r="AH6" s="288">
        <f>AF6*AG6</f>
        <v>28669599</v>
      </c>
      <c r="AI6" s="288">
        <v>0</v>
      </c>
      <c r="AJ6" s="288">
        <f>AH6+AI6</f>
        <v>28669599</v>
      </c>
      <c r="AK6" s="288">
        <f>'P&amp;L-SOFP-Ratios'!E5</f>
        <v>31780287</v>
      </c>
      <c r="AL6" s="288">
        <v>3869868</v>
      </c>
      <c r="AM6" s="288">
        <f>'P&amp;L-SOFP-Ratios'!E18</f>
        <v>2139602</v>
      </c>
      <c r="AN6" s="288">
        <v>3.04</v>
      </c>
      <c r="AO6" s="4"/>
      <c r="AP6" s="287">
        <v>39.799999999999997</v>
      </c>
      <c r="AQ6" s="287">
        <v>716739.97499999998</v>
      </c>
      <c r="AR6" s="288">
        <f>AP6*AQ6</f>
        <v>28526251.004999995</v>
      </c>
      <c r="AS6" s="289">
        <v>4262694</v>
      </c>
      <c r="AT6" s="288">
        <f>AR6+AS6</f>
        <v>32788945.004999995</v>
      </c>
      <c r="AU6" s="288">
        <f>'P&amp;L-SOFP-Ratios'!F5</f>
        <v>49587964</v>
      </c>
      <c r="AV6" s="288">
        <v>4076783</v>
      </c>
      <c r="AW6" s="288">
        <f>'P&amp;L-SOFP-Ratios'!F18</f>
        <v>2531250</v>
      </c>
      <c r="AX6" s="288">
        <v>3.54</v>
      </c>
    </row>
    <row r="7" spans="1:50" x14ac:dyDescent="0.3">
      <c r="A7" s="275" t="s">
        <v>571</v>
      </c>
      <c r="B7" s="290">
        <v>12.5</v>
      </c>
      <c r="C7" s="290">
        <v>207740.89</v>
      </c>
      <c r="D7" s="291">
        <f t="shared" ref="D7:D9" si="0">C7*B7</f>
        <v>2596761.125</v>
      </c>
      <c r="E7" s="292">
        <f>F109</f>
        <v>4520975</v>
      </c>
      <c r="F7" s="292">
        <f>D7+E7</f>
        <v>7117736.125</v>
      </c>
      <c r="G7" s="292">
        <v>8964529</v>
      </c>
      <c r="H7" s="291">
        <f>W76</f>
        <v>447308.33280000003</v>
      </c>
      <c r="I7" s="291">
        <v>-7662</v>
      </c>
      <c r="J7" s="291">
        <v>-0.51</v>
      </c>
      <c r="K7" s="4"/>
      <c r="L7" s="290">
        <v>8.5</v>
      </c>
      <c r="M7" s="290">
        <v>207740.89</v>
      </c>
      <c r="N7" s="291">
        <f t="shared" ref="N7:N9" si="1">L7*M7</f>
        <v>1765797.5650000002</v>
      </c>
      <c r="O7" s="291">
        <f>D109</f>
        <v>3125845</v>
      </c>
      <c r="P7" s="291">
        <f t="shared" ref="P7:P9" si="2">N7+O7</f>
        <v>4891642.5650000004</v>
      </c>
      <c r="Q7" s="291">
        <v>11982988</v>
      </c>
      <c r="R7" s="291">
        <f>Q76</f>
        <v>848886.5237100001</v>
      </c>
      <c r="S7" s="292">
        <v>316768</v>
      </c>
      <c r="T7" s="292">
        <v>0.87</v>
      </c>
      <c r="U7" s="4"/>
      <c r="V7" s="290">
        <v>8.6999999999999993</v>
      </c>
      <c r="W7" s="290">
        <v>207741</v>
      </c>
      <c r="X7" s="291">
        <f>V7*W7</f>
        <v>1807346.7</v>
      </c>
      <c r="Y7" s="292">
        <f>D109</f>
        <v>3125845</v>
      </c>
      <c r="Z7" s="291">
        <f t="shared" ref="Z7:Z9" si="3">X7+Y7</f>
        <v>4933191.7</v>
      </c>
      <c r="AA7" s="292">
        <v>12225353</v>
      </c>
      <c r="AB7" s="291">
        <f>L76</f>
        <v>843862.27630000003</v>
      </c>
      <c r="AC7" s="292">
        <v>303995</v>
      </c>
      <c r="AD7" s="292">
        <v>1.1100000000000001</v>
      </c>
      <c r="AE7" s="4"/>
      <c r="AF7" s="290">
        <v>27.8</v>
      </c>
      <c r="AG7" s="290">
        <v>415481.78</v>
      </c>
      <c r="AH7" s="291">
        <f t="shared" ref="AH7:AH9" si="4">AF7*AG7</f>
        <v>11550393.484000001</v>
      </c>
      <c r="AI7" s="292">
        <f>C109</f>
        <v>2699670</v>
      </c>
      <c r="AJ7" s="291">
        <f t="shared" ref="AJ7:AJ9" si="5">AH7+AI7</f>
        <v>14250063.484000001</v>
      </c>
      <c r="AK7" s="292">
        <v>14769114</v>
      </c>
      <c r="AL7" s="291">
        <f>G76</f>
        <v>1310773.8014</v>
      </c>
      <c r="AM7" s="292">
        <v>730576</v>
      </c>
      <c r="AN7" s="292">
        <v>1.77</v>
      </c>
      <c r="AO7" s="4"/>
      <c r="AP7" s="290">
        <v>25.8</v>
      </c>
      <c r="AQ7" s="290">
        <v>415481.77600000001</v>
      </c>
      <c r="AR7" s="292">
        <f>AP7*AQ7</f>
        <v>10719429.820800001</v>
      </c>
      <c r="AS7" s="292">
        <f>B109</f>
        <v>9947745</v>
      </c>
      <c r="AT7" s="292">
        <f>AR7+AS7</f>
        <v>20667174.820799999</v>
      </c>
      <c r="AU7" s="292">
        <v>31652580</v>
      </c>
      <c r="AV7" s="291">
        <f>B76</f>
        <v>4481547.7944499999</v>
      </c>
      <c r="AW7" s="292">
        <v>2692346</v>
      </c>
      <c r="AX7" s="292">
        <v>6.48</v>
      </c>
    </row>
    <row r="8" spans="1:50" x14ac:dyDescent="0.3">
      <c r="A8" s="275" t="s">
        <v>572</v>
      </c>
      <c r="B8" s="290">
        <f>10*X86</f>
        <v>23.915000000000003</v>
      </c>
      <c r="C8" s="290">
        <v>10076.1</v>
      </c>
      <c r="D8" s="291">
        <f t="shared" si="0"/>
        <v>240969.93150000004</v>
      </c>
      <c r="E8" s="291">
        <f>F110</f>
        <v>1310017.7090634999</v>
      </c>
      <c r="F8" s="291">
        <f>D8+E8</f>
        <v>1550987.6405634999</v>
      </c>
      <c r="G8" s="291">
        <f>2427242.131*2.3915</f>
        <v>5804749.5562865008</v>
      </c>
      <c r="H8" s="291">
        <f>Y90</f>
        <v>146189.424757</v>
      </c>
      <c r="I8" s="291">
        <f>333034.967*2.3915</f>
        <v>796453.12358050002</v>
      </c>
      <c r="J8" s="291">
        <f>3.39*2.3915</f>
        <v>8.1071850000000012</v>
      </c>
      <c r="K8" s="4"/>
      <c r="L8" s="290">
        <f>10*R86</f>
        <v>25.321999999999999</v>
      </c>
      <c r="M8" s="290">
        <v>10076.1</v>
      </c>
      <c r="N8" s="291">
        <f t="shared" si="1"/>
        <v>255147.0042</v>
      </c>
      <c r="O8" s="291">
        <f>E110</f>
        <v>1278990.6756044</v>
      </c>
      <c r="P8" s="291">
        <f t="shared" si="2"/>
        <v>1534137.6798044001</v>
      </c>
      <c r="Q8" s="291">
        <f>2573798.263*2.5322</f>
        <v>6517371.9615685996</v>
      </c>
      <c r="R8" s="291">
        <f>S90</f>
        <v>318159.54522879998</v>
      </c>
      <c r="S8" s="291">
        <f>37395.623*2.5322</f>
        <v>94693.196560600001</v>
      </c>
      <c r="T8" s="291">
        <f>3.71*2.5322</f>
        <v>9.3944620000000008</v>
      </c>
      <c r="U8" s="4"/>
      <c r="V8" s="290">
        <f>10*M86</f>
        <v>25.167000000000002</v>
      </c>
      <c r="W8" s="290">
        <v>10076.1</v>
      </c>
      <c r="X8" s="291">
        <f>V8*W8</f>
        <v>253585.20870000002</v>
      </c>
      <c r="Y8" s="291">
        <f>D110</f>
        <v>1469398.7909112002</v>
      </c>
      <c r="Z8" s="291">
        <f t="shared" si="3"/>
        <v>1722983.9996112003</v>
      </c>
      <c r="AA8" s="291">
        <f>2651681*2.5167</f>
        <v>6673485.5727000004</v>
      </c>
      <c r="AB8" s="291">
        <f>N90</f>
        <v>2814.6269460000003</v>
      </c>
      <c r="AC8" s="291">
        <f>309.71*2.5167</f>
        <v>779.44715699999995</v>
      </c>
      <c r="AD8" s="291">
        <f>3.07*2.5167</f>
        <v>7.7262690000000003</v>
      </c>
      <c r="AE8" s="4"/>
      <c r="AF8" s="290">
        <f>10*2.6688</f>
        <v>26.688000000000002</v>
      </c>
      <c r="AG8" s="290">
        <v>10076.1</v>
      </c>
      <c r="AH8" s="291">
        <f t="shared" si="4"/>
        <v>268910.95680000004</v>
      </c>
      <c r="AI8" s="291">
        <f>C110</f>
        <v>18890.833920000001</v>
      </c>
      <c r="AJ8" s="291">
        <f t="shared" si="5"/>
        <v>287801.79072000005</v>
      </c>
      <c r="AK8" s="291">
        <f>25909.28*2.6688</f>
        <v>69146.686463999999</v>
      </c>
      <c r="AL8" s="291">
        <f>I90</f>
        <v>2266.5050880000003</v>
      </c>
      <c r="AM8" s="291">
        <f>25.12*2.6688</f>
        <v>67.040255999999999</v>
      </c>
      <c r="AN8" s="291">
        <f>0.25*2.6688</f>
        <v>0.66720000000000002</v>
      </c>
      <c r="AO8" s="4"/>
      <c r="AP8" s="290">
        <f>2*3.87</f>
        <v>7.74</v>
      </c>
      <c r="AQ8" s="290">
        <v>151141.5</v>
      </c>
      <c r="AR8" s="291">
        <f>AP8*AQ8</f>
        <v>1169835.21</v>
      </c>
      <c r="AS8" s="291">
        <f>B110</f>
        <v>35058.446100000001</v>
      </c>
      <c r="AT8" s="291">
        <f>AR8+AS8</f>
        <v>1204893.6561</v>
      </c>
      <c r="AU8" s="291">
        <f>38342.25*3.87</f>
        <v>148384.50750000001</v>
      </c>
      <c r="AV8" s="291">
        <f>D90</f>
        <v>6535.4625000000005</v>
      </c>
      <c r="AW8" s="291">
        <f>513.55*3.87</f>
        <v>1987.4385</v>
      </c>
      <c r="AX8" s="291">
        <f>0.5*3.87</f>
        <v>1.9350000000000001</v>
      </c>
    </row>
    <row r="9" spans="1:50" x14ac:dyDescent="0.3">
      <c r="A9" s="275" t="s">
        <v>573</v>
      </c>
      <c r="B9" s="290">
        <v>13.2</v>
      </c>
      <c r="C9" s="290">
        <v>100371.584</v>
      </c>
      <c r="D9" s="291">
        <f t="shared" si="0"/>
        <v>1324904.9087999999</v>
      </c>
      <c r="E9" s="291">
        <v>1098691.67</v>
      </c>
      <c r="F9" s="291">
        <f>D9+E9</f>
        <v>2423596.5787999998</v>
      </c>
      <c r="G9" s="291">
        <v>2616349</v>
      </c>
      <c r="H9" s="291">
        <f>O104</f>
        <v>513888.74200000003</v>
      </c>
      <c r="I9" s="291">
        <v>365614</v>
      </c>
      <c r="J9" s="291">
        <v>1.19</v>
      </c>
      <c r="K9" s="4"/>
      <c r="L9" s="290">
        <v>9.9</v>
      </c>
      <c r="M9" s="290">
        <v>306843.36</v>
      </c>
      <c r="N9" s="291">
        <f t="shared" si="1"/>
        <v>3037749.264</v>
      </c>
      <c r="O9" s="291">
        <f>(459775.2+1022662.244)-31382.261</f>
        <v>1451055.183</v>
      </c>
      <c r="P9" s="291">
        <f t="shared" si="2"/>
        <v>4488804.4469999997</v>
      </c>
      <c r="Q9" s="291">
        <v>3741355.74</v>
      </c>
      <c r="R9" s="291">
        <f>L104</f>
        <v>534363.201</v>
      </c>
      <c r="S9" s="291">
        <v>369480.74</v>
      </c>
      <c r="T9" s="291">
        <v>1.2</v>
      </c>
      <c r="U9" s="4"/>
      <c r="V9" s="290">
        <v>7.6</v>
      </c>
      <c r="W9" s="290">
        <v>306843.36</v>
      </c>
      <c r="X9" s="291">
        <f>V9*W9</f>
        <v>2332009.5359999998</v>
      </c>
      <c r="Y9" s="291">
        <f>(459775.2+1022662.244)-31382.261</f>
        <v>1451055.183</v>
      </c>
      <c r="Z9" s="291">
        <f t="shared" si="3"/>
        <v>3783064.7189999996</v>
      </c>
      <c r="AA9" s="291">
        <v>2626193.2799999998</v>
      </c>
      <c r="AB9" s="291">
        <f>H104</f>
        <v>657351.89599999995</v>
      </c>
      <c r="AC9" s="291">
        <v>405554.89</v>
      </c>
      <c r="AD9" s="291">
        <v>1.32</v>
      </c>
      <c r="AE9" s="4"/>
      <c r="AF9" s="290">
        <v>13.5</v>
      </c>
      <c r="AG9" s="290">
        <v>306843.36</v>
      </c>
      <c r="AH9" s="291">
        <f t="shared" si="4"/>
        <v>4142385.36</v>
      </c>
      <c r="AI9" s="293">
        <v>1848072.0009999999</v>
      </c>
      <c r="AJ9" s="291">
        <f t="shared" si="5"/>
        <v>5990457.3609999996</v>
      </c>
      <c r="AK9" s="291">
        <v>31780287</v>
      </c>
      <c r="AL9" s="291">
        <f>E104</f>
        <v>702577.47600000002</v>
      </c>
      <c r="AM9" s="291">
        <v>496901.06</v>
      </c>
      <c r="AN9" s="291">
        <v>3.04</v>
      </c>
      <c r="AO9" s="4"/>
      <c r="AP9" s="290">
        <v>19.7</v>
      </c>
      <c r="AQ9" s="290">
        <v>306843.35700000002</v>
      </c>
      <c r="AR9" s="291">
        <f>AP9*AQ9</f>
        <v>6044814.1329000005</v>
      </c>
      <c r="AS9" s="293">
        <v>4695780.0420000004</v>
      </c>
      <c r="AT9" s="291">
        <f>(AR9+AS9)</f>
        <v>10740594.174900001</v>
      </c>
      <c r="AU9" s="291">
        <f>(4834955216)/1000</f>
        <v>4834955.216</v>
      </c>
      <c r="AV9" s="291">
        <f>B104</f>
        <v>990025.07200000004</v>
      </c>
      <c r="AW9" s="291">
        <f>(649698724)/1000</f>
        <v>649698.72400000005</v>
      </c>
      <c r="AX9" s="291">
        <v>2.21</v>
      </c>
    </row>
    <row r="17" spans="1:83" x14ac:dyDescent="0.3">
      <c r="A17" s="1"/>
    </row>
    <row r="18" spans="1:83" x14ac:dyDescent="0.3">
      <c r="B18" s="523" t="s">
        <v>555</v>
      </c>
      <c r="C18" s="524"/>
      <c r="D18" s="524"/>
      <c r="E18" s="524"/>
      <c r="F18" s="524"/>
      <c r="G18" s="524"/>
      <c r="H18" s="525"/>
      <c r="I18" s="1"/>
      <c r="L18" s="523" t="s">
        <v>557</v>
      </c>
      <c r="M18" s="524"/>
      <c r="N18" s="524"/>
      <c r="O18" s="524"/>
      <c r="P18" s="524"/>
      <c r="Q18" s="524"/>
      <c r="R18" s="525"/>
      <c r="S18" s="1"/>
      <c r="V18" s="523" t="s">
        <v>558</v>
      </c>
      <c r="W18" s="524"/>
      <c r="X18" s="524"/>
      <c r="Y18" s="524"/>
      <c r="Z18" s="524"/>
      <c r="AA18" s="524"/>
      <c r="AB18" s="525"/>
      <c r="AC18" s="1"/>
      <c r="AF18" s="523" t="s">
        <v>559</v>
      </c>
      <c r="AG18" s="524"/>
      <c r="AH18" s="524"/>
      <c r="AI18" s="524"/>
      <c r="AJ18" s="524"/>
      <c r="AK18" s="524"/>
      <c r="AL18" s="525"/>
      <c r="AM18" s="1"/>
      <c r="AP18" s="523" t="s">
        <v>560</v>
      </c>
      <c r="AQ18" s="524"/>
      <c r="AR18" s="524"/>
      <c r="AS18" s="524"/>
      <c r="AT18" s="524"/>
      <c r="AU18" s="524"/>
      <c r="AV18" s="525"/>
      <c r="AW18" s="1"/>
    </row>
    <row r="19" spans="1:83" x14ac:dyDescent="0.3">
      <c r="A19" s="283" t="s">
        <v>574</v>
      </c>
      <c r="B19" s="82" t="s">
        <v>575</v>
      </c>
      <c r="C19" s="82" t="s">
        <v>576</v>
      </c>
      <c r="D19" s="82" t="s">
        <v>577</v>
      </c>
      <c r="E19" s="82" t="s">
        <v>578</v>
      </c>
      <c r="F19" s="82" t="s">
        <v>579</v>
      </c>
      <c r="G19" s="82" t="s">
        <v>580</v>
      </c>
      <c r="H19" s="82" t="s">
        <v>581</v>
      </c>
      <c r="I19" s="1"/>
      <c r="J19" s="1"/>
      <c r="K19" s="1"/>
      <c r="L19" s="82" t="s">
        <v>575</v>
      </c>
      <c r="M19" s="82" t="s">
        <v>576</v>
      </c>
      <c r="N19" s="82" t="s">
        <v>577</v>
      </c>
      <c r="O19" s="82" t="s">
        <v>578</v>
      </c>
      <c r="P19" s="82" t="s">
        <v>579</v>
      </c>
      <c r="Q19" s="82" t="s">
        <v>580</v>
      </c>
      <c r="R19" s="82" t="s">
        <v>581</v>
      </c>
      <c r="S19" s="1"/>
      <c r="T19" s="1"/>
      <c r="U19" s="1"/>
      <c r="V19" s="82" t="s">
        <v>575</v>
      </c>
      <c r="W19" s="82" t="s">
        <v>576</v>
      </c>
      <c r="X19" s="82" t="s">
        <v>577</v>
      </c>
      <c r="Y19" s="82" t="s">
        <v>578</v>
      </c>
      <c r="Z19" s="82" t="s">
        <v>579</v>
      </c>
      <c r="AA19" s="82" t="s">
        <v>580</v>
      </c>
      <c r="AB19" s="82" t="s">
        <v>581</v>
      </c>
      <c r="AC19" s="1"/>
      <c r="AD19" s="1"/>
      <c r="AE19" s="1"/>
      <c r="AF19" s="82" t="s">
        <v>575</v>
      </c>
      <c r="AG19" s="82" t="s">
        <v>576</v>
      </c>
      <c r="AH19" s="82" t="s">
        <v>577</v>
      </c>
      <c r="AI19" s="82" t="s">
        <v>578</v>
      </c>
      <c r="AJ19" s="82" t="s">
        <v>579</v>
      </c>
      <c r="AK19" s="82" t="s">
        <v>580</v>
      </c>
      <c r="AL19" s="82" t="s">
        <v>581</v>
      </c>
      <c r="AM19" s="1"/>
      <c r="AN19" s="1"/>
      <c r="AO19" s="1"/>
      <c r="AP19" s="82" t="s">
        <v>575</v>
      </c>
      <c r="AQ19" s="82" t="s">
        <v>576</v>
      </c>
      <c r="AR19" s="82" t="s">
        <v>577</v>
      </c>
      <c r="AS19" s="82" t="s">
        <v>578</v>
      </c>
      <c r="AT19" s="82" t="s">
        <v>579</v>
      </c>
      <c r="AU19" s="82" t="s">
        <v>580</v>
      </c>
      <c r="AV19" s="82" t="s">
        <v>581</v>
      </c>
      <c r="AW19" s="1"/>
    </row>
    <row r="20" spans="1:83" x14ac:dyDescent="0.3">
      <c r="A20" s="294" t="s">
        <v>139</v>
      </c>
      <c r="B20" s="295">
        <f>B6/J6</f>
        <v>13.991228070175438</v>
      </c>
      <c r="C20" s="295">
        <f>B6/F116</f>
        <v>1.9136490335960876</v>
      </c>
      <c r="D20" s="295">
        <f>D6/G6</f>
        <v>0.90850698058966495</v>
      </c>
      <c r="E20" s="295">
        <f>D6/[1]CF!B12</f>
        <v>7.4383940189670215</v>
      </c>
      <c r="F20" s="295">
        <f>F6/H6</f>
        <v>9.8311064858651225</v>
      </c>
      <c r="G20" s="295">
        <f>F6/'[1]P&amp;L-SOFP-Ratios'!B12</f>
        <v>15.85934383121222</v>
      </c>
      <c r="H20" s="295">
        <f>F6/G6</f>
        <v>1.1651802367040405</v>
      </c>
      <c r="I20" s="296"/>
      <c r="L20" s="295">
        <f>L6/T6</f>
        <v>11.471698113207546</v>
      </c>
      <c r="M20" s="295">
        <f>L6/E116</f>
        <v>1.5324301086048333</v>
      </c>
      <c r="N20" s="295">
        <f>N6/Q6</f>
        <v>0.67218175834432869</v>
      </c>
      <c r="O20" s="295">
        <f>N6/[1]CF!C12</f>
        <v>5.9524218724198095</v>
      </c>
      <c r="P20" s="295">
        <f>P6/R6</f>
        <v>5.880642111218493</v>
      </c>
      <c r="Q20" s="295">
        <f>P6/'[1]P&amp;L-SOFP-Ratios'!C12</f>
        <v>9.1013537770472244</v>
      </c>
      <c r="R20" s="295">
        <f>P6/Q6</f>
        <v>0.67218175834432869</v>
      </c>
      <c r="S20" s="296"/>
      <c r="V20" s="295">
        <f>V6/AD6</f>
        <v>6.8529411764705888</v>
      </c>
      <c r="W20" s="295">
        <f>V6/D116</f>
        <v>1.0451761417267937</v>
      </c>
      <c r="X20" s="295">
        <f>X6/AA6</f>
        <v>0.49149863599384752</v>
      </c>
      <c r="Y20" s="295">
        <f>X6/[1]CF!D12</f>
        <v>4.2497136811953746</v>
      </c>
      <c r="Z20" s="295">
        <f>Z6/AB6</f>
        <v>4.0340471479412301</v>
      </c>
      <c r="AA20" s="295">
        <f>Z6/'[1]P&amp;L-SOFP-Ratios'!D12</f>
        <v>5.994503182964861</v>
      </c>
      <c r="AB20" s="295">
        <f>Z6/AA6</f>
        <v>0.49149863599384752</v>
      </c>
      <c r="AC20" s="296"/>
      <c r="AD20" s="296"/>
      <c r="AE20" s="296"/>
      <c r="AF20" s="295">
        <f>AF6/AN6</f>
        <v>13.157894736842104</v>
      </c>
      <c r="AG20" s="295">
        <f>AF6/C116</f>
        <v>1.6138953775858713</v>
      </c>
      <c r="AH20" s="295">
        <f>AH6/AK6</f>
        <v>0.90211894562185668</v>
      </c>
      <c r="AI20" s="295">
        <f>AH6/[1]CF!E12</f>
        <v>12.232289172459343</v>
      </c>
      <c r="AJ20" s="295">
        <f>AJ6/AL6</f>
        <v>7.408417806498826</v>
      </c>
      <c r="AK20" s="295">
        <f>AJ6/'[1]P&amp;L-SOFP-Ratios'!E12</f>
        <v>11.743088192767926</v>
      </c>
      <c r="AL20" s="295">
        <f>AJ6/AK6</f>
        <v>0.90211894562185668</v>
      </c>
      <c r="AM20" s="296"/>
      <c r="AN20" s="296"/>
      <c r="AO20" s="296"/>
      <c r="AP20" s="295">
        <f>AP6/AX6</f>
        <v>11.242937853107344</v>
      </c>
      <c r="AQ20" s="295">
        <f>AP6/B116</f>
        <v>1.0106420817371469</v>
      </c>
      <c r="AR20" s="295">
        <f>AR6/AU6</f>
        <v>0.5752656230249743</v>
      </c>
      <c r="AS20" s="295">
        <f>AR6/[1]CF!F12</f>
        <v>5.9852334358978654</v>
      </c>
      <c r="AT20" s="295">
        <f>AT6/AV6</f>
        <v>8.0428477564295164</v>
      </c>
      <c r="AU20" s="295">
        <f>AT6/'[1]P&amp;L-SOFP-Ratios'!F12</f>
        <v>12.742958600957675</v>
      </c>
      <c r="AV20" s="295">
        <f>AT6/AU6</f>
        <v>0.66122789403089821</v>
      </c>
      <c r="AW20" s="296"/>
    </row>
    <row r="21" spans="1:83" x14ac:dyDescent="0.3">
      <c r="A21" s="276" t="s">
        <v>571</v>
      </c>
      <c r="B21" s="297">
        <f>B7/J7</f>
        <v>-24.509803921568626</v>
      </c>
      <c r="C21" s="275">
        <f>B7/F117</f>
        <v>0.96780246702385853</v>
      </c>
      <c r="D21" s="297">
        <f t="shared" ref="D21:D23" si="6">D7/G7</f>
        <v>0.28967067037208538</v>
      </c>
      <c r="E21" s="297">
        <f>D7/F125</f>
        <v>3.9452539868369074</v>
      </c>
      <c r="F21" s="297">
        <f>F7/H7</f>
        <v>15.912370959971527</v>
      </c>
      <c r="G21" s="297">
        <f>F7/Z72</f>
        <v>58.756258865265877</v>
      </c>
      <c r="H21" s="297">
        <f>F7/G7</f>
        <v>0.79398885596778146</v>
      </c>
      <c r="I21" s="296"/>
      <c r="L21" s="297">
        <f>L7/T7</f>
        <v>9.7701149425287355</v>
      </c>
      <c r="M21" s="275">
        <f>L7/E117</f>
        <v>0.23489257788503026</v>
      </c>
      <c r="N21" s="297">
        <f>N7/Q7</f>
        <v>0.14735870260405837</v>
      </c>
      <c r="O21" s="297">
        <f>N7/E125</f>
        <v>3.5204905066432337</v>
      </c>
      <c r="P21" s="297">
        <f>P7/R7</f>
        <v>5.7624222182505775</v>
      </c>
      <c r="Q21" s="297">
        <f>P7/T72</f>
        <v>10.052244654022044</v>
      </c>
      <c r="R21" s="297">
        <f>P7/Q7</f>
        <v>0.40821559405717511</v>
      </c>
      <c r="S21" s="296"/>
      <c r="V21" s="297">
        <f>V7/AD7</f>
        <v>7.8378378378378368</v>
      </c>
      <c r="W21" s="275">
        <f>V7/D117</f>
        <v>0.51009400072929156</v>
      </c>
      <c r="X21" s="297">
        <f>X7/AA7</f>
        <v>0.14783595205798966</v>
      </c>
      <c r="Y21" s="297">
        <f>X7/D125</f>
        <v>4.5243391038340164</v>
      </c>
      <c r="Z21" s="297">
        <f>Z7/AB7</f>
        <v>5.8459678060620046</v>
      </c>
      <c r="AA21" s="297">
        <f>Z7/O72</f>
        <v>11.005214456043255</v>
      </c>
      <c r="AB21" s="297">
        <f>Z7/AA7</f>
        <v>0.40352141161077315</v>
      </c>
      <c r="AC21" s="296"/>
      <c r="AD21" s="296"/>
      <c r="AE21" s="296"/>
      <c r="AF21" s="297">
        <f>AF7/AN7</f>
        <v>15.706214689265536</v>
      </c>
      <c r="AG21" s="297">
        <f>AF7/C117</f>
        <v>2.7334566977228834</v>
      </c>
      <c r="AH21" s="297">
        <f>AH7/AK7</f>
        <v>0.78206407533992905</v>
      </c>
      <c r="AI21" s="297">
        <f>AH7/C125</f>
        <v>6.5937153901194057</v>
      </c>
      <c r="AJ21" s="297">
        <f>AJ7/AL7</f>
        <v>10.871489397163657</v>
      </c>
      <c r="AK21" s="290">
        <f>AJ7/J72</f>
        <v>16.096500180016875</v>
      </c>
      <c r="AL21" s="297">
        <f>AJ7/AK7</f>
        <v>0.96485567678602802</v>
      </c>
      <c r="AM21" s="296"/>
      <c r="AN21" s="296"/>
      <c r="AO21" s="296"/>
      <c r="AP21" s="297">
        <f>AP7/AX7</f>
        <v>3.9814814814814814</v>
      </c>
      <c r="AQ21" s="297">
        <f>AP7/B117</f>
        <v>1.1771028816066904</v>
      </c>
      <c r="AR21" s="297">
        <f>AR7/AU7</f>
        <v>0.33865895989521239</v>
      </c>
      <c r="AS21" s="297">
        <f>AR7/B125</f>
        <v>7.0733735491726888</v>
      </c>
      <c r="AT21" s="297">
        <f>AT7/AV7</f>
        <v>4.6116153991249327</v>
      </c>
      <c r="AU21" s="297">
        <f>AT7/E72</f>
        <v>5.523946763108774</v>
      </c>
      <c r="AV21" s="297">
        <f>AT7/AU7</f>
        <v>0.65293808027023381</v>
      </c>
      <c r="AW21" s="296"/>
    </row>
    <row r="22" spans="1:83" x14ac:dyDescent="0.3">
      <c r="A22" s="276" t="s">
        <v>572</v>
      </c>
      <c r="B22" s="297">
        <f>B8/J8</f>
        <v>2.9498525073746311</v>
      </c>
      <c r="C22" s="275">
        <f>B8/F118</f>
        <v>0.2887231719528085</v>
      </c>
      <c r="D22" s="297">
        <f t="shared" si="6"/>
        <v>4.1512545746100513E-2</v>
      </c>
      <c r="E22" s="297">
        <f>D8/F126</f>
        <v>-2.0647938418278287</v>
      </c>
      <c r="F22" s="297">
        <f>F8/H8</f>
        <v>10.609438016064386</v>
      </c>
      <c r="G22" s="297">
        <f>F8/Y88</f>
        <v>12.804010139333206</v>
      </c>
      <c r="H22" s="297">
        <f>F8/G8</f>
        <v>0.26719286086749283</v>
      </c>
      <c r="I22" s="296"/>
      <c r="L22" s="297">
        <f>L8/T8</f>
        <v>2.6954177897574123</v>
      </c>
      <c r="M22" s="275">
        <f>L8/E118</f>
        <v>25.815170745829672</v>
      </c>
      <c r="N22" s="297">
        <f>N8/Q8</f>
        <v>3.9148755925630989E-2</v>
      </c>
      <c r="O22" s="297">
        <f>N8/E126</f>
        <v>0.98934396011997605</v>
      </c>
      <c r="P22" s="297">
        <f>P8/R8</f>
        <v>4.8219131024377928</v>
      </c>
      <c r="Q22" s="297">
        <f>P8/S88</f>
        <v>5.3098929017286416</v>
      </c>
      <c r="R22" s="297">
        <f>P8/Q8</f>
        <v>0.23539207043127919</v>
      </c>
      <c r="S22" s="296"/>
      <c r="V22" s="297">
        <f>V8/AD8</f>
        <v>3.2573289902280131</v>
      </c>
      <c r="W22" s="275">
        <f>V8/D118</f>
        <v>23.82242586301059</v>
      </c>
      <c r="X22" s="297">
        <f>X8/AA8</f>
        <v>3.7998914650744189E-2</v>
      </c>
      <c r="Y22" s="297">
        <f>X8/D126</f>
        <v>-98.281361255523151</v>
      </c>
      <c r="Z22" s="297">
        <f>Z8/AB8</f>
        <v>612.15359359072943</v>
      </c>
      <c r="AA22" s="297">
        <f>Z8/N88</f>
        <v>689.64786896475312</v>
      </c>
      <c r="AB22" s="297">
        <f>Z8/AA8</f>
        <v>0.25818352056676502</v>
      </c>
      <c r="AC22" s="296"/>
      <c r="AD22" s="296"/>
      <c r="AE22" s="296"/>
      <c r="AF22" s="297">
        <f>AF8/AN8</f>
        <v>40</v>
      </c>
      <c r="AG22" s="297">
        <f>AF8/C118</f>
        <v>23.566627217827769</v>
      </c>
      <c r="AH22" s="297">
        <f>AH8/AK8</f>
        <v>3.8889926698078843</v>
      </c>
      <c r="AI22" s="297">
        <f>AH8/C126</f>
        <v>-138.73956985101756</v>
      </c>
      <c r="AJ22" s="297">
        <f>AJ8/AL8</f>
        <v>126.98043002143042</v>
      </c>
      <c r="AK22" s="275">
        <f>AJ8/I88</f>
        <v>148.77683350808456</v>
      </c>
      <c r="AL22" s="297">
        <f>AJ8/AK8</f>
        <v>4.1621920794402634</v>
      </c>
      <c r="AM22" s="296"/>
      <c r="AN22" s="296"/>
      <c r="AO22" s="296"/>
      <c r="AP22" s="297">
        <f>AP8/AX8</f>
        <v>4</v>
      </c>
      <c r="AQ22" s="297">
        <f>AP8/B118</f>
        <v>60.773472887636139</v>
      </c>
      <c r="AR22" s="297">
        <f>AR8/AU8</f>
        <v>7.8838096355847656</v>
      </c>
      <c r="AS22" s="297">
        <f>AR8/B126</f>
        <v>-346.6945750659479</v>
      </c>
      <c r="AT22" s="297">
        <f>AT8/AV8</f>
        <v>184.3624159881569</v>
      </c>
      <c r="AU22" s="297">
        <f>AT8/D88</f>
        <v>198.79832324470664</v>
      </c>
      <c r="AV22" s="297">
        <f>AT8/AU8</f>
        <v>8.1200771994340446</v>
      </c>
      <c r="AW22" s="296"/>
    </row>
    <row r="23" spans="1:83" x14ac:dyDescent="0.3">
      <c r="A23" s="276" t="s">
        <v>573</v>
      </c>
      <c r="B23" s="297">
        <f>B9/J9</f>
        <v>11.092436974789916</v>
      </c>
      <c r="C23" s="297">
        <f>B9/F119</f>
        <v>0.60770828840603841</v>
      </c>
      <c r="D23" s="297">
        <f t="shared" si="6"/>
        <v>0.50639456311065534</v>
      </c>
      <c r="E23" s="297">
        <f>D9/F127</f>
        <v>4.0478144710404598</v>
      </c>
      <c r="F23" s="297">
        <f>F9/H9</f>
        <v>4.7161892851896718</v>
      </c>
      <c r="G23" s="297">
        <f>F9/O101</f>
        <v>5.5623579065827613</v>
      </c>
      <c r="H23" s="297">
        <f>F9/G9</f>
        <v>0.9263277104086648</v>
      </c>
      <c r="I23" s="296"/>
      <c r="L23" s="297">
        <f>L9/T9</f>
        <v>8.25</v>
      </c>
      <c r="M23" s="275">
        <f>L9/E119</f>
        <v>0.82693394709999557</v>
      </c>
      <c r="N23" s="297">
        <f>N9/Q9</f>
        <v>0.81193809813979356</v>
      </c>
      <c r="O23" s="297">
        <f>N9/E127</f>
        <v>6.3925662602411188</v>
      </c>
      <c r="P23" s="297">
        <f>P9/R9</f>
        <v>8.4002873674678806</v>
      </c>
      <c r="Q23" s="297">
        <f>P9/L101</f>
        <v>10.072559260733403</v>
      </c>
      <c r="R23" s="297">
        <f>P9/Q9</f>
        <v>1.1997801756750346</v>
      </c>
      <c r="S23" s="296"/>
      <c r="V23" s="297">
        <f>V9/AD9</f>
        <v>5.7575757575757569</v>
      </c>
      <c r="W23" s="275">
        <f>V9/D119</f>
        <v>0.81105591736632154</v>
      </c>
      <c r="X23" s="297">
        <f>X9/AA9</f>
        <v>0.88798092423722907</v>
      </c>
      <c r="Y23" s="297">
        <f>X9/D127</f>
        <v>2.4028262289225357</v>
      </c>
      <c r="Z23" s="297">
        <f>Z9/AB9</f>
        <v>5.7550069331510683</v>
      </c>
      <c r="AA23" s="297">
        <f>Z9/H101</f>
        <v>6.9848567554277645</v>
      </c>
      <c r="AB23" s="297">
        <f>Z9/AA9</f>
        <v>1.4405126796303431</v>
      </c>
      <c r="AC23" s="296"/>
      <c r="AD23" s="296"/>
      <c r="AE23" s="296"/>
      <c r="AF23" s="297">
        <f>AF9/AN9</f>
        <v>4.4407894736842106</v>
      </c>
      <c r="AG23" s="297" t="e">
        <f>AF9/C120</f>
        <v>#DIV/0!</v>
      </c>
      <c r="AH23" s="297">
        <f>AH9/AK9</f>
        <v>0.13034449185433725</v>
      </c>
      <c r="AI23" s="297">
        <f>AH9/C127</f>
        <v>30.720085532424559</v>
      </c>
      <c r="AJ23" s="297">
        <f>AJ9/AL9</f>
        <v>8.5264010954430312</v>
      </c>
      <c r="AK23" s="297">
        <f>AJ9/E101</f>
        <v>8.9280734469251577</v>
      </c>
      <c r="AL23" s="297">
        <f>AJ9/AK9</f>
        <v>0.18849601204041988</v>
      </c>
      <c r="AM23" s="296"/>
      <c r="AN23" s="296"/>
      <c r="AO23" s="296"/>
      <c r="AP23" s="297">
        <f>AP9/AX9</f>
        <v>8.9140271493212673</v>
      </c>
      <c r="AQ23" s="297">
        <f>AP9/B119</f>
        <v>1.969513169579173</v>
      </c>
      <c r="AR23" s="297">
        <f>AR9/AU9</f>
        <v>1.2502316697570008</v>
      </c>
      <c r="AS23" s="297">
        <f>AR9/B127</f>
        <v>36.244881552102363</v>
      </c>
      <c r="AT23" s="297">
        <f>AT9/AV9</f>
        <v>10.848810276291671</v>
      </c>
      <c r="AU23" s="297">
        <f>AT9/B101</f>
        <v>13.500161871561115</v>
      </c>
      <c r="AV23" s="297">
        <f>AT9/AU9</f>
        <v>2.2214464653895569</v>
      </c>
      <c r="AW23" s="296"/>
    </row>
    <row r="24" spans="1:83" x14ac:dyDescent="0.3">
      <c r="B24" s="296"/>
      <c r="C24" s="296"/>
      <c r="D24" s="296"/>
      <c r="E24" s="296"/>
      <c r="F24" s="296"/>
      <c r="G24" s="296"/>
      <c r="H24" s="296"/>
      <c r="I24" s="296"/>
      <c r="L24" s="296"/>
      <c r="N24" s="296"/>
      <c r="O24" s="296"/>
      <c r="P24" s="296"/>
      <c r="Q24" s="296"/>
      <c r="R24" s="296"/>
      <c r="S24" s="296"/>
      <c r="V24" s="296"/>
      <c r="X24" s="296"/>
      <c r="Y24" s="296"/>
      <c r="Z24" s="296"/>
      <c r="AA24" s="296"/>
      <c r="AB24" s="296"/>
      <c r="AC24" s="296"/>
      <c r="AD24" s="296"/>
      <c r="AE24" s="296"/>
      <c r="AF24" s="296"/>
      <c r="AG24" s="296"/>
      <c r="AH24" s="296"/>
      <c r="AI24" s="296"/>
      <c r="AJ24" s="296"/>
      <c r="AK24" s="296"/>
      <c r="AL24" s="296"/>
      <c r="AM24" s="296"/>
      <c r="AN24" s="296"/>
      <c r="AO24" s="296"/>
      <c r="AP24" s="296"/>
      <c r="AQ24" s="296"/>
      <c r="AR24" s="296"/>
      <c r="AS24" s="296"/>
      <c r="AT24" s="296"/>
      <c r="AU24" s="296"/>
      <c r="AV24" s="296"/>
      <c r="AW24" s="296"/>
    </row>
    <row r="25" spans="1:83" x14ac:dyDescent="0.3">
      <c r="B25" s="296"/>
      <c r="C25" s="296"/>
      <c r="D25" s="296"/>
      <c r="E25" s="296"/>
      <c r="F25" s="296"/>
      <c r="G25" s="296"/>
      <c r="H25" s="296"/>
      <c r="I25" s="296"/>
      <c r="L25" s="296"/>
      <c r="N25" s="296"/>
      <c r="O25" s="296"/>
      <c r="P25" s="296"/>
      <c r="Q25" s="296"/>
      <c r="R25" s="296"/>
      <c r="S25" s="296"/>
      <c r="V25" s="296"/>
      <c r="X25" s="296"/>
      <c r="Y25" s="296"/>
      <c r="Z25" s="296"/>
      <c r="AA25" s="296"/>
      <c r="AB25" s="296"/>
      <c r="AC25" s="296"/>
      <c r="AD25" s="296"/>
      <c r="AE25" s="296"/>
      <c r="AF25" s="296"/>
      <c r="AG25" s="296"/>
      <c r="AH25" s="296"/>
      <c r="AI25" s="296"/>
      <c r="AJ25" s="296"/>
      <c r="AK25" s="296"/>
      <c r="AL25" s="296"/>
      <c r="AM25" s="296"/>
      <c r="AN25" s="296"/>
      <c r="AO25" s="296"/>
      <c r="AP25" s="296"/>
      <c r="AQ25" s="296"/>
      <c r="AR25" s="296"/>
      <c r="AS25" s="296"/>
      <c r="AT25" s="296"/>
      <c r="AU25" s="296"/>
      <c r="AV25" s="296"/>
      <c r="AW25" s="296"/>
    </row>
    <row r="26" spans="1:83" x14ac:dyDescent="0.3">
      <c r="A26" s="298" t="s">
        <v>582</v>
      </c>
    </row>
    <row r="27" spans="1:83" x14ac:dyDescent="0.3">
      <c r="A27" s="283"/>
      <c r="AP27" s="299" t="s">
        <v>575</v>
      </c>
      <c r="AQ27" s="299" t="s">
        <v>576</v>
      </c>
      <c r="AR27" s="299" t="s">
        <v>577</v>
      </c>
      <c r="AS27" s="299"/>
      <c r="AT27" s="299" t="s">
        <v>579</v>
      </c>
      <c r="AU27" s="299" t="s">
        <v>580</v>
      </c>
      <c r="AV27" s="299" t="s">
        <v>581</v>
      </c>
    </row>
    <row r="28" spans="1:83" x14ac:dyDescent="0.3">
      <c r="A28" s="1" t="s">
        <v>583</v>
      </c>
      <c r="AP28" s="300">
        <f>AVERAGE(AP21:AP23)</f>
        <v>5.6318362102675827</v>
      </c>
      <c r="AQ28" s="301"/>
      <c r="AR28" s="301"/>
      <c r="AS28" s="302"/>
      <c r="AT28" s="301"/>
      <c r="AU28" s="301"/>
      <c r="AV28" s="301"/>
    </row>
    <row r="29" spans="1:83" s="18" customFormat="1" x14ac:dyDescent="0.3">
      <c r="A29" s="9" t="s">
        <v>584</v>
      </c>
      <c r="AP29" s="303">
        <f>MEDIAN(AP21:AP23)</f>
        <v>4</v>
      </c>
      <c r="AQ29" s="304"/>
      <c r="AR29" s="304"/>
      <c r="AS29" s="304"/>
      <c r="AT29" s="304"/>
      <c r="AU29" s="304"/>
      <c r="AV29" s="304"/>
    </row>
    <row r="30" spans="1:83" x14ac:dyDescent="0.3">
      <c r="A30" s="283"/>
      <c r="AP30" s="301"/>
      <c r="AQ30" s="301"/>
      <c r="AR30" s="301"/>
      <c r="AS30" s="302"/>
      <c r="AT30" s="301"/>
      <c r="AU30" s="301"/>
      <c r="AV30" s="301"/>
    </row>
    <row r="31" spans="1:83" x14ac:dyDescent="0.3">
      <c r="A31" s="1" t="s">
        <v>585</v>
      </c>
      <c r="AP31" s="301"/>
      <c r="AQ31" s="301"/>
      <c r="AR31" s="300">
        <f>AVERAGE(AR21:AR23)</f>
        <v>3.1575667550789928</v>
      </c>
      <c r="AS31" s="302"/>
      <c r="AT31" s="301"/>
      <c r="AU31" s="301"/>
      <c r="AV31" s="301"/>
    </row>
    <row r="32" spans="1:83" s="18" customFormat="1" x14ac:dyDescent="0.3">
      <c r="A32" s="9" t="s">
        <v>586</v>
      </c>
      <c r="AP32" s="304"/>
      <c r="AQ32" s="304"/>
      <c r="AR32" s="303">
        <f>MEDIAN(AR21:AR23)</f>
        <v>1.2502316697570008</v>
      </c>
      <c r="AS32" s="304"/>
      <c r="AT32" s="304"/>
      <c r="AU32" s="304"/>
      <c r="AV32" s="304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</row>
    <row r="33" spans="1:83" x14ac:dyDescent="0.3">
      <c r="A33" s="283"/>
      <c r="AP33" s="301"/>
      <c r="AQ33" s="301"/>
      <c r="AR33" s="301"/>
      <c r="AS33" s="302"/>
      <c r="AT33" s="301"/>
      <c r="AU33" s="301"/>
      <c r="AV33" s="301"/>
    </row>
    <row r="34" spans="1:83" x14ac:dyDescent="0.3">
      <c r="A34" s="1" t="s">
        <v>587</v>
      </c>
      <c r="AP34" s="301"/>
      <c r="AQ34" s="300">
        <f>AVERAGE(AQ21:AQ23)</f>
        <v>21.306696312940669</v>
      </c>
      <c r="AR34" s="301"/>
      <c r="AS34" s="302"/>
      <c r="AT34" s="301"/>
      <c r="AU34" s="301"/>
      <c r="AV34" s="301"/>
    </row>
    <row r="35" spans="1:83" s="18" customFormat="1" x14ac:dyDescent="0.3">
      <c r="A35" s="9" t="s">
        <v>588</v>
      </c>
      <c r="AP35" s="304"/>
      <c r="AQ35" s="303">
        <f>MEDIAN(AQ21:AQ23)</f>
        <v>1.969513169579173</v>
      </c>
      <c r="AR35" s="304"/>
      <c r="AS35" s="304"/>
      <c r="AT35" s="304"/>
      <c r="AU35" s="304"/>
      <c r="AV35" s="304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</row>
    <row r="36" spans="1:83" x14ac:dyDescent="0.3">
      <c r="A36" s="1"/>
      <c r="AP36" s="301"/>
      <c r="AQ36" s="300"/>
      <c r="AR36" s="301"/>
      <c r="AS36" s="302"/>
      <c r="AT36" s="301"/>
      <c r="AU36" s="301"/>
      <c r="AV36" s="301"/>
    </row>
    <row r="37" spans="1:83" x14ac:dyDescent="0.3">
      <c r="A37" s="1"/>
      <c r="AP37" s="301"/>
      <c r="AQ37" s="300"/>
      <c r="AR37" s="301"/>
      <c r="AS37" s="302"/>
      <c r="AT37" s="301"/>
      <c r="AU37" s="301"/>
      <c r="AV37" s="301"/>
    </row>
    <row r="38" spans="1:83" x14ac:dyDescent="0.3">
      <c r="A38" s="1" t="s">
        <v>589</v>
      </c>
      <c r="B38" s="296"/>
      <c r="C38" s="296"/>
      <c r="D38" s="296"/>
      <c r="E38" s="296"/>
      <c r="F38" s="296">
        <f>AVERAGE(F20:F23)</f>
        <v>10.267276186772676</v>
      </c>
      <c r="G38" s="296"/>
      <c r="H38" s="296"/>
      <c r="I38" s="296"/>
      <c r="P38" s="296">
        <f>AVERAGE(P20:P23)</f>
        <v>6.2163161998436856</v>
      </c>
      <c r="Q38" s="296"/>
      <c r="R38" s="296"/>
      <c r="Z38" s="296">
        <f>AVERAGE(Z20:Z23)</f>
        <v>156.94715386947095</v>
      </c>
      <c r="AA38" s="296"/>
      <c r="AB38" s="296"/>
      <c r="AJ38" s="296">
        <f>AVERAGE(AJ20:AJ23)</f>
        <v>38.446684580133983</v>
      </c>
      <c r="AK38" s="296"/>
      <c r="AL38" s="296"/>
      <c r="AP38" s="301"/>
      <c r="AQ38" s="301"/>
      <c r="AR38" s="301"/>
      <c r="AS38" s="302"/>
      <c r="AT38" s="300">
        <f>AVERAGE(AT21:AT23)</f>
        <v>66.607613887857823</v>
      </c>
      <c r="AU38" s="300"/>
      <c r="AV38" s="300"/>
    </row>
    <row r="39" spans="1:83" s="18" customFormat="1" x14ac:dyDescent="0.3">
      <c r="A39" s="9" t="s">
        <v>590</v>
      </c>
      <c r="B39" s="305"/>
      <c r="C39" s="305"/>
      <c r="D39" s="305"/>
      <c r="E39" s="305"/>
      <c r="F39" s="305">
        <f>MEDIAN(F20:F23)</f>
        <v>10.220272250964754</v>
      </c>
      <c r="G39" s="305"/>
      <c r="H39" s="305"/>
      <c r="I39" s="305"/>
      <c r="P39" s="305">
        <f>MEDIAN(P20:P23)</f>
        <v>5.8215321647345348</v>
      </c>
      <c r="Q39" s="305"/>
      <c r="R39" s="305"/>
      <c r="Z39" s="305">
        <f>MEDIAN(Z20:Z23)</f>
        <v>5.800487369606536</v>
      </c>
      <c r="AA39" s="305"/>
      <c r="AB39" s="305"/>
      <c r="AJ39" s="305">
        <f>MEDIAN(AJ20:AJ23)</f>
        <v>9.6989452463033441</v>
      </c>
      <c r="AK39" s="305"/>
      <c r="AL39" s="305"/>
      <c r="AP39" s="304"/>
      <c r="AQ39" s="304"/>
      <c r="AR39" s="304"/>
      <c r="AS39" s="304"/>
      <c r="AT39" s="303">
        <f>MEDIAN(AT21:AT23)</f>
        <v>10.848810276291671</v>
      </c>
      <c r="AU39" s="303"/>
      <c r="AV39" s="303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</row>
    <row r="40" spans="1:83" x14ac:dyDescent="0.3">
      <c r="A40" s="1"/>
      <c r="B40" s="296"/>
      <c r="C40" s="296"/>
      <c r="D40" s="296"/>
      <c r="E40" s="296"/>
      <c r="F40" s="296"/>
      <c r="G40" s="296"/>
      <c r="H40" s="296"/>
      <c r="I40" s="296"/>
      <c r="P40" s="296"/>
      <c r="Q40" s="296"/>
      <c r="R40" s="296"/>
      <c r="Z40" s="296"/>
      <c r="AA40" s="296"/>
      <c r="AB40" s="296"/>
      <c r="AJ40" s="296"/>
      <c r="AK40" s="296"/>
      <c r="AL40" s="296"/>
      <c r="AP40" s="301"/>
      <c r="AQ40" s="301"/>
      <c r="AR40" s="301"/>
      <c r="AS40" s="302"/>
      <c r="AT40" s="300"/>
      <c r="AU40" s="300"/>
      <c r="AV40" s="300"/>
    </row>
    <row r="41" spans="1:83" x14ac:dyDescent="0.3">
      <c r="A41" s="1" t="s">
        <v>591</v>
      </c>
      <c r="B41" s="296"/>
      <c r="C41" s="296"/>
      <c r="D41" s="296"/>
      <c r="E41" s="296"/>
      <c r="F41" s="296"/>
      <c r="G41" s="296">
        <f>AVERAGE(G20:G23)</f>
        <v>23.245492685598514</v>
      </c>
      <c r="H41" s="296"/>
      <c r="I41" s="296"/>
      <c r="P41" s="296"/>
      <c r="Q41" s="296">
        <f>AVERAGE(Q20:Q23)</f>
        <v>8.6340126483828286</v>
      </c>
      <c r="R41" s="296"/>
      <c r="Z41" s="296"/>
      <c r="AA41" s="296">
        <f>AVERAGE(AA20:AA23)</f>
        <v>178.40811083979727</v>
      </c>
      <c r="AB41" s="296"/>
      <c r="AJ41" s="296"/>
      <c r="AK41" s="296">
        <f>AVERAGE(AK20:AK23)</f>
        <v>46.386123831948638</v>
      </c>
      <c r="AL41" s="296"/>
      <c r="AP41" s="301"/>
      <c r="AQ41" s="301"/>
      <c r="AR41" s="301"/>
      <c r="AS41" s="302"/>
      <c r="AT41" s="300"/>
      <c r="AU41" s="300">
        <f>AVERAGE(AU21:AU23)</f>
        <v>72.607477293125513</v>
      </c>
      <c r="AV41" s="300"/>
    </row>
    <row r="42" spans="1:83" s="18" customFormat="1" x14ac:dyDescent="0.3">
      <c r="A42" s="9" t="s">
        <v>592</v>
      </c>
      <c r="B42" s="305"/>
      <c r="C42" s="305"/>
      <c r="D42" s="305"/>
      <c r="E42" s="305"/>
      <c r="F42" s="305"/>
      <c r="G42" s="305">
        <f>MEDIAN(G20:G23)</f>
        <v>14.331676985272713</v>
      </c>
      <c r="H42" s="305"/>
      <c r="I42" s="305"/>
      <c r="P42" s="305"/>
      <c r="Q42" s="305">
        <f>MEDIAN(Q20:Q23)</f>
        <v>9.5767992155346349</v>
      </c>
      <c r="R42" s="305"/>
      <c r="Z42" s="305"/>
      <c r="AA42" s="305">
        <f>MEDIAN(AA20:AA23)</f>
        <v>8.9950356057355094</v>
      </c>
      <c r="AB42" s="305"/>
      <c r="AJ42" s="305"/>
      <c r="AK42" s="305">
        <f>MEDIAN(AK20:AK23)</f>
        <v>13.919794186392402</v>
      </c>
      <c r="AL42" s="305"/>
      <c r="AP42" s="304"/>
      <c r="AQ42" s="304"/>
      <c r="AR42" s="304"/>
      <c r="AS42" s="304"/>
      <c r="AT42" s="303"/>
      <c r="AU42" s="303">
        <f>MEDIAN(AU21:AU23)</f>
        <v>13.500161871561115</v>
      </c>
      <c r="AV42" s="303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</row>
    <row r="43" spans="1:83" x14ac:dyDescent="0.3">
      <c r="A43" s="1"/>
      <c r="B43" s="296"/>
      <c r="C43" s="296"/>
      <c r="D43" s="296"/>
      <c r="E43" s="296"/>
      <c r="F43" s="296"/>
      <c r="G43" s="296"/>
      <c r="H43" s="296"/>
      <c r="I43" s="296"/>
      <c r="P43" s="296"/>
      <c r="Q43" s="296"/>
      <c r="R43" s="296"/>
      <c r="Z43" s="296"/>
      <c r="AA43" s="296"/>
      <c r="AB43" s="296"/>
      <c r="AJ43" s="296"/>
      <c r="AK43" s="296"/>
      <c r="AL43" s="296"/>
      <c r="AP43" s="301"/>
      <c r="AQ43" s="301"/>
      <c r="AR43" s="301"/>
      <c r="AS43" s="302"/>
      <c r="AT43" s="300"/>
      <c r="AU43" s="300"/>
      <c r="AV43" s="300"/>
    </row>
    <row r="44" spans="1:83" x14ac:dyDescent="0.3">
      <c r="A44" s="1" t="s">
        <v>593</v>
      </c>
      <c r="B44" s="296"/>
      <c r="C44" s="296"/>
      <c r="D44" s="296"/>
      <c r="E44" s="296"/>
      <c r="F44" s="296"/>
      <c r="G44" s="296"/>
      <c r="H44" s="296">
        <f>AVERAGE(H20:H23)</f>
        <v>0.78817241598699495</v>
      </c>
      <c r="I44" s="296"/>
      <c r="P44" s="296"/>
      <c r="Q44" s="296"/>
      <c r="R44" s="296">
        <f>AVERAGE(R20:R23)</f>
        <v>0.62889239962695442</v>
      </c>
      <c r="Z44" s="296"/>
      <c r="AA44" s="296"/>
      <c r="AB44" s="296">
        <f>AVERAGE(AB20:AB23)</f>
        <v>0.64842906195043226</v>
      </c>
      <c r="AJ44" s="296"/>
      <c r="AK44" s="296"/>
      <c r="AL44" s="296">
        <f>AVERAGE(AL20:AL23)</f>
        <v>1.5544156784721419</v>
      </c>
      <c r="AP44" s="301"/>
      <c r="AQ44" s="301"/>
      <c r="AR44" s="301"/>
      <c r="AS44" s="302"/>
      <c r="AT44" s="300"/>
      <c r="AU44" s="300"/>
      <c r="AV44" s="300">
        <f>AVERAGE(AV21:AV23)</f>
        <v>3.6648205816979451</v>
      </c>
    </row>
    <row r="45" spans="1:83" s="18" customFormat="1" x14ac:dyDescent="0.3">
      <c r="A45" s="9" t="s">
        <v>594</v>
      </c>
      <c r="B45" s="305"/>
      <c r="C45" s="305"/>
      <c r="D45" s="305"/>
      <c r="E45" s="305"/>
      <c r="F45" s="305"/>
      <c r="G45" s="305"/>
      <c r="H45" s="305">
        <f>MEDIAN(H20:H23)</f>
        <v>0.86015828318822307</v>
      </c>
      <c r="I45" s="305"/>
      <c r="R45" s="305">
        <f>MEDIAN(R20:R23)</f>
        <v>0.5401986762007519</v>
      </c>
      <c r="Z45" s="305"/>
      <c r="AA45" s="305"/>
      <c r="AB45" s="305">
        <f>MEDIAN(AB20:AB23)</f>
        <v>0.44751002380231031</v>
      </c>
      <c r="AJ45" s="305"/>
      <c r="AK45" s="305"/>
      <c r="AL45" s="305">
        <f>MEDIAN(AL20:AL23)</f>
        <v>0.93348731120394235</v>
      </c>
      <c r="AP45" s="304"/>
      <c r="AQ45" s="304"/>
      <c r="AR45" s="304"/>
      <c r="AS45" s="304"/>
      <c r="AT45" s="303"/>
      <c r="AU45" s="303"/>
      <c r="AV45" s="303">
        <f>MEDIAN(AV21:AV23)</f>
        <v>2.2214464653895569</v>
      </c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</row>
    <row r="46" spans="1:83" x14ac:dyDescent="0.3">
      <c r="B46" s="296"/>
      <c r="C46" s="296"/>
      <c r="D46" s="296"/>
      <c r="E46" s="296"/>
      <c r="F46" s="296"/>
      <c r="G46" s="296"/>
      <c r="H46" s="296"/>
      <c r="I46" s="296"/>
      <c r="AP46" s="301"/>
      <c r="AQ46" s="301"/>
      <c r="AR46" s="301"/>
      <c r="AS46" s="302"/>
      <c r="AT46" s="301"/>
      <c r="AU46" s="301"/>
      <c r="AV46" s="301"/>
    </row>
    <row r="47" spans="1:83" x14ac:dyDescent="0.3">
      <c r="B47" s="296"/>
      <c r="C47" s="296"/>
      <c r="D47" s="296"/>
      <c r="E47" s="296"/>
      <c r="F47" s="296"/>
      <c r="G47" s="296"/>
      <c r="H47" s="296"/>
      <c r="I47" s="296"/>
      <c r="AP47" s="301"/>
      <c r="AQ47" s="301"/>
      <c r="AR47" s="301"/>
      <c r="AS47" s="302"/>
      <c r="AT47" s="301"/>
      <c r="AU47" s="301"/>
      <c r="AV47" s="301"/>
    </row>
    <row r="48" spans="1:83" x14ac:dyDescent="0.3">
      <c r="A48" s="283" t="s">
        <v>595</v>
      </c>
      <c r="B48" s="296"/>
      <c r="C48" s="296"/>
      <c r="D48" s="296"/>
      <c r="E48" s="296"/>
      <c r="F48" s="5"/>
      <c r="G48" s="296"/>
      <c r="H48" s="296"/>
      <c r="I48" s="296"/>
      <c r="AP48" s="301"/>
      <c r="AQ48" s="301"/>
      <c r="AR48" s="301"/>
      <c r="AS48" s="302"/>
      <c r="AT48" s="301"/>
      <c r="AU48" s="301"/>
      <c r="AV48" s="301"/>
    </row>
    <row r="49" spans="1:83" x14ac:dyDescent="0.3">
      <c r="A49" t="s">
        <v>596</v>
      </c>
      <c r="B49" s="296"/>
      <c r="C49" s="296"/>
      <c r="D49" s="296"/>
      <c r="E49" s="296"/>
      <c r="F49" s="4">
        <f>H6*F39</f>
        <v>29855602.383329753</v>
      </c>
      <c r="G49" s="4">
        <f>G42*'[1]P&amp;L-SOFP-Ratios'!B12</f>
        <v>25952402.615365211</v>
      </c>
      <c r="H49" s="4">
        <f>H45*G6</f>
        <v>21200740.96298233</v>
      </c>
      <c r="I49" s="296"/>
      <c r="P49" s="4">
        <f>P39*R6</f>
        <v>21124983.808827244</v>
      </c>
      <c r="Q49" s="4">
        <f>Q42*'[1]P&amp;L-SOFP-Ratios'!C12</f>
        <v>22454232.703904066</v>
      </c>
      <c r="R49" s="4">
        <f>R45*Q6</f>
        <v>17149466.972285382</v>
      </c>
      <c r="Z49" s="4">
        <f>Z39*AB6</f>
        <v>23517420.584996935</v>
      </c>
      <c r="AA49" s="4">
        <f>AA42*'[1]P&amp;L-SOFP-Ratios'!D12</f>
        <v>24542333.992792543</v>
      </c>
      <c r="AB49" s="4">
        <f>AB45*AA6</f>
        <v>14891780.321828909</v>
      </c>
      <c r="AJ49" s="4">
        <f>AJ39*AL6</f>
        <v>37533637.842421427</v>
      </c>
      <c r="AK49" s="4">
        <f>AK42*'[1]P&amp;L-SOFP-Ratios'!E12</f>
        <v>33983813.366246782</v>
      </c>
      <c r="AL49" s="4">
        <f>AL45*AK6</f>
        <v>29666494.660919603</v>
      </c>
      <c r="AP49" s="306">
        <f>AP51+AP50</f>
        <v>14387694</v>
      </c>
      <c r="AQ49" s="306">
        <f>AQ35*(B116*AQ52)</f>
        <v>55591220.718316525</v>
      </c>
      <c r="AR49" s="306">
        <f>AR32*AU6</f>
        <v>61996443.031570047</v>
      </c>
      <c r="AS49" s="302"/>
      <c r="AT49" s="306">
        <f>AV6*AT39</f>
        <v>44228245.304611184</v>
      </c>
      <c r="AU49" s="306">
        <f>AU42*'[1]P&amp;L-SOFP-Ratios'!F12</f>
        <v>34737307.012199521</v>
      </c>
      <c r="AV49" s="306">
        <f>AV45*AU6</f>
        <v>110157007.35366459</v>
      </c>
    </row>
    <row r="50" spans="1:83" x14ac:dyDescent="0.3">
      <c r="A50" t="s">
        <v>564</v>
      </c>
      <c r="B50" s="296"/>
      <c r="C50" s="296"/>
      <c r="D50" s="296"/>
      <c r="E50" s="296"/>
      <c r="F50" s="4">
        <f>E6</f>
        <v>6326351</v>
      </c>
      <c r="G50" s="4">
        <f>F50</f>
        <v>6326351</v>
      </c>
      <c r="H50" s="4">
        <f>G50</f>
        <v>6326351</v>
      </c>
      <c r="I50" s="296"/>
      <c r="P50" s="4">
        <f>O6</f>
        <v>0</v>
      </c>
      <c r="Q50" s="4">
        <f>P50</f>
        <v>0</v>
      </c>
      <c r="R50" s="4">
        <f>Q50</f>
        <v>0</v>
      </c>
      <c r="Z50" s="4">
        <f>Y6</f>
        <v>0</v>
      </c>
      <c r="AA50" s="4">
        <f>Z50</f>
        <v>0</v>
      </c>
      <c r="AB50" s="4">
        <f>AA50</f>
        <v>0</v>
      </c>
      <c r="AJ50" s="4">
        <f>AI6</f>
        <v>0</v>
      </c>
      <c r="AK50" s="4">
        <f>AJ50</f>
        <v>0</v>
      </c>
      <c r="AL50" s="4">
        <f>AK50</f>
        <v>0</v>
      </c>
      <c r="AP50" s="306">
        <f>AS6</f>
        <v>4262694</v>
      </c>
      <c r="AQ50" s="306">
        <f>AR50</f>
        <v>4262694</v>
      </c>
      <c r="AR50" s="306">
        <f>AT50</f>
        <v>4262694</v>
      </c>
      <c r="AS50" s="302"/>
      <c r="AT50" s="306">
        <f>AS6</f>
        <v>4262694</v>
      </c>
      <c r="AU50" s="306">
        <f>AT50</f>
        <v>4262694</v>
      </c>
      <c r="AV50" s="306">
        <f>AU50</f>
        <v>4262694</v>
      </c>
    </row>
    <row r="51" spans="1:83" s="18" customFormat="1" x14ac:dyDescent="0.3">
      <c r="A51" s="9" t="s">
        <v>597</v>
      </c>
      <c r="B51" s="305"/>
      <c r="C51" s="305"/>
      <c r="D51" s="305"/>
      <c r="E51" s="305"/>
      <c r="F51" s="307">
        <f>F49-F50</f>
        <v>23529251.383329753</v>
      </c>
      <c r="G51" s="308">
        <f>G49-G50</f>
        <v>19626051.615365211</v>
      </c>
      <c r="H51" s="308">
        <f>H49-H50</f>
        <v>14874389.96298233</v>
      </c>
      <c r="I51" s="305"/>
      <c r="P51" s="307">
        <f>P49-P50</f>
        <v>21124983.808827244</v>
      </c>
      <c r="Q51" s="307">
        <f>Q49-Q50</f>
        <v>22454232.703904066</v>
      </c>
      <c r="R51" s="307">
        <f>R49-R50</f>
        <v>17149466.972285382</v>
      </c>
      <c r="Z51" s="307">
        <f>Z49-Z50</f>
        <v>23517420.584996935</v>
      </c>
      <c r="AA51" s="307">
        <f>AA49-AA50</f>
        <v>24542333.992792543</v>
      </c>
      <c r="AB51" s="307">
        <f>AB49-AB50</f>
        <v>14891780.321828909</v>
      </c>
      <c r="AJ51" s="307">
        <f>AJ49-AJ50</f>
        <v>37533637.842421427</v>
      </c>
      <c r="AK51" s="307">
        <f t="shared" ref="AK51:AL51" si="7">AK49-AK50</f>
        <v>33983813.366246782</v>
      </c>
      <c r="AL51" s="307">
        <f t="shared" si="7"/>
        <v>29666494.660919603</v>
      </c>
      <c r="AP51" s="309">
        <f>AP29*AW6</f>
        <v>10125000</v>
      </c>
      <c r="AQ51" s="309">
        <f>AQ49-AQ50</f>
        <v>51328526.718316525</v>
      </c>
      <c r="AR51" s="309">
        <f>AR49-AR50</f>
        <v>57733749.031570047</v>
      </c>
      <c r="AS51" s="304"/>
      <c r="AT51" s="309">
        <f>AT49-AT50</f>
        <v>39965551.304611184</v>
      </c>
      <c r="AU51" s="309">
        <f>AU49-AU50</f>
        <v>30474613.012199521</v>
      </c>
      <c r="AV51" s="309">
        <f>AV49+AV50</f>
        <v>114419701.35366459</v>
      </c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</row>
    <row r="52" spans="1:83" x14ac:dyDescent="0.3">
      <c r="A52" t="s">
        <v>598</v>
      </c>
      <c r="B52" s="296"/>
      <c r="C52" s="296"/>
      <c r="D52" s="296"/>
      <c r="E52" s="296"/>
      <c r="F52" s="4">
        <f>C6</f>
        <v>701956.58</v>
      </c>
      <c r="G52" s="225">
        <f>F52</f>
        <v>701956.58</v>
      </c>
      <c r="H52" s="225">
        <f>G52</f>
        <v>701956.58</v>
      </c>
      <c r="I52" s="296"/>
      <c r="P52" s="4">
        <f>M6</f>
        <v>701956.58</v>
      </c>
      <c r="Q52" s="4">
        <f>P52</f>
        <v>701956.58</v>
      </c>
      <c r="R52" s="4">
        <f>Q52</f>
        <v>701956.58</v>
      </c>
      <c r="Z52" s="4">
        <f>W6</f>
        <v>701956.58</v>
      </c>
      <c r="AA52" s="4">
        <f>Z52</f>
        <v>701956.58</v>
      </c>
      <c r="AB52" s="4">
        <f>AA52</f>
        <v>701956.58</v>
      </c>
      <c r="AJ52" s="4">
        <f>AG6</f>
        <v>716739.97499999998</v>
      </c>
      <c r="AK52" s="4">
        <f>AJ52</f>
        <v>716739.97499999998</v>
      </c>
      <c r="AL52" s="4">
        <f>AK52</f>
        <v>716739.97499999998</v>
      </c>
      <c r="AP52" s="306">
        <f>AQ52</f>
        <v>716739.97499999998</v>
      </c>
      <c r="AQ52" s="306">
        <f>AR52</f>
        <v>716739.97499999998</v>
      </c>
      <c r="AR52" s="306">
        <f>AT52</f>
        <v>716739.97499999998</v>
      </c>
      <c r="AS52" s="302"/>
      <c r="AT52" s="306">
        <f>AQ6</f>
        <v>716739.97499999998</v>
      </c>
      <c r="AU52" s="306">
        <f>AT52</f>
        <v>716739.97499999998</v>
      </c>
      <c r="AV52" s="306">
        <f>AU52</f>
        <v>716739.97499999998</v>
      </c>
    </row>
    <row r="53" spans="1:83" s="18" customFormat="1" ht="15" thickBot="1" x14ac:dyDescent="0.35">
      <c r="A53" s="9" t="s">
        <v>599</v>
      </c>
      <c r="B53" s="305"/>
      <c r="C53" s="305"/>
      <c r="D53" s="305"/>
      <c r="E53" s="305"/>
      <c r="F53" s="310">
        <f>F51/F52</f>
        <v>33.519525357721918</v>
      </c>
      <c r="G53" s="310">
        <f>G51/G52</f>
        <v>27.959067803545928</v>
      </c>
      <c r="H53" s="310">
        <f>H51/H52</f>
        <v>21.189900325433705</v>
      </c>
      <c r="I53" s="305"/>
      <c r="P53" s="310">
        <f>P51/P52</f>
        <v>30.09443092452705</v>
      </c>
      <c r="Q53" s="310">
        <f>Q51/Q52</f>
        <v>31.988064993854845</v>
      </c>
      <c r="R53" s="310">
        <f>R51/R52</f>
        <v>24.430951231036801</v>
      </c>
      <c r="Z53" s="310">
        <f>Z51/Z52</f>
        <v>33.502671326190772</v>
      </c>
      <c r="AA53" s="310">
        <f>AA51/AA52</f>
        <v>34.962752244294862</v>
      </c>
      <c r="AB53" s="310">
        <f>AB51/AB52</f>
        <v>21.214674448708649</v>
      </c>
      <c r="AJ53" s="310">
        <f>AJ51/AJ52</f>
        <v>52.367161246198705</v>
      </c>
      <c r="AK53" s="310">
        <f t="shared" ref="AK53:AL53" si="8">AK51/AK52</f>
        <v>47.41442440997767</v>
      </c>
      <c r="AL53" s="310">
        <f t="shared" si="8"/>
        <v>41.390874927716432</v>
      </c>
      <c r="AP53" s="311">
        <f>AP51/AP52</f>
        <v>14.126461971093493</v>
      </c>
      <c r="AQ53" s="311">
        <f>AQ51/AQ52</f>
        <v>71.613874638869589</v>
      </c>
      <c r="AR53" s="311">
        <f>AR51/AR52</f>
        <v>80.550480014136298</v>
      </c>
      <c r="AS53" s="304"/>
      <c r="AT53" s="311">
        <f>AT51/AT52</f>
        <v>55.760181793419832</v>
      </c>
      <c r="AU53" s="311">
        <f>AU51/AU52</f>
        <v>42.518366597592831</v>
      </c>
      <c r="AV53" s="312">
        <f>AV51/AV52</f>
        <v>159.63906764606591</v>
      </c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</row>
    <row r="54" spans="1:83" ht="15" thickTop="1" x14ac:dyDescent="0.3">
      <c r="B54" s="296"/>
      <c r="C54" s="296"/>
      <c r="D54" s="296"/>
      <c r="E54" s="296"/>
      <c r="F54" s="296"/>
      <c r="G54" s="296"/>
      <c r="H54" s="296"/>
      <c r="I54" s="296"/>
    </row>
    <row r="55" spans="1:83" x14ac:dyDescent="0.3">
      <c r="B55" s="296"/>
      <c r="C55" s="296"/>
      <c r="D55" s="296"/>
      <c r="E55" s="296"/>
      <c r="F55" s="296"/>
      <c r="G55" s="296"/>
      <c r="H55" s="296"/>
      <c r="I55" s="296"/>
    </row>
    <row r="56" spans="1:83" x14ac:dyDescent="0.3">
      <c r="A56" s="386"/>
      <c r="B56" s="515"/>
      <c r="C56" s="515"/>
      <c r="D56" s="515"/>
      <c r="E56" s="515"/>
      <c r="F56" s="515"/>
      <c r="G56" s="515"/>
      <c r="H56" s="515"/>
      <c r="I56" s="515"/>
      <c r="J56" s="386"/>
      <c r="K56" s="386"/>
      <c r="L56" s="386"/>
      <c r="M56" s="386"/>
      <c r="N56" s="386"/>
      <c r="O56" s="386"/>
      <c r="P56" s="386"/>
      <c r="Q56" s="386"/>
      <c r="R56" s="386"/>
      <c r="S56" s="386"/>
      <c r="T56" s="386"/>
      <c r="U56" s="386"/>
      <c r="V56" s="386"/>
      <c r="W56" s="386"/>
      <c r="X56" s="386"/>
      <c r="Y56" s="386"/>
      <c r="Z56" s="386"/>
      <c r="AA56" s="386"/>
      <c r="AB56" s="386"/>
      <c r="AC56" s="386"/>
      <c r="AD56" s="386"/>
      <c r="AE56" s="386"/>
      <c r="AF56" s="386"/>
      <c r="AG56" s="386"/>
      <c r="AH56" s="386"/>
      <c r="AI56" s="386"/>
      <c r="AJ56" s="386"/>
      <c r="AK56" s="386"/>
      <c r="AL56" s="386"/>
      <c r="AM56" s="386"/>
      <c r="AN56" s="386"/>
      <c r="AO56" s="386"/>
      <c r="AP56" s="386"/>
      <c r="AQ56" s="386"/>
      <c r="AR56" s="516"/>
    </row>
    <row r="57" spans="1:83" x14ac:dyDescent="0.3">
      <c r="B57" s="296"/>
      <c r="C57" s="296"/>
      <c r="D57" s="296"/>
      <c r="E57" s="296"/>
      <c r="F57" s="296"/>
      <c r="G57" s="296"/>
      <c r="H57" s="296"/>
      <c r="I57" s="296"/>
    </row>
    <row r="58" spans="1:83" x14ac:dyDescent="0.3">
      <c r="B58" s="296"/>
      <c r="C58" s="296"/>
      <c r="D58" s="296"/>
      <c r="E58" s="296"/>
      <c r="F58" s="296"/>
      <c r="G58" s="296"/>
      <c r="H58" s="296"/>
      <c r="I58" s="296"/>
    </row>
    <row r="59" spans="1:83" x14ac:dyDescent="0.3">
      <c r="B59" s="296"/>
      <c r="C59" s="296"/>
      <c r="D59" s="296"/>
      <c r="E59" s="296"/>
      <c r="F59" s="296"/>
      <c r="G59" s="296"/>
      <c r="H59" s="296"/>
      <c r="I59" s="296"/>
    </row>
    <row r="60" spans="1:83" x14ac:dyDescent="0.3">
      <c r="B60" s="296"/>
      <c r="C60" s="296"/>
      <c r="D60" s="296"/>
      <c r="E60" s="296"/>
      <c r="F60" s="296"/>
      <c r="G60" s="296"/>
      <c r="H60" s="296"/>
      <c r="I60" s="296"/>
    </row>
    <row r="64" spans="1:83" x14ac:dyDescent="0.3">
      <c r="A64" s="96" t="s">
        <v>600</v>
      </c>
    </row>
    <row r="66" spans="1:26" x14ac:dyDescent="0.3">
      <c r="A66" s="298" t="s">
        <v>567</v>
      </c>
      <c r="D66" s="1"/>
    </row>
    <row r="67" spans="1:26" x14ac:dyDescent="0.3">
      <c r="B67" s="519" t="s">
        <v>560</v>
      </c>
      <c r="C67" s="519"/>
      <c r="D67" s="519"/>
      <c r="F67" s="523" t="s">
        <v>559</v>
      </c>
      <c r="G67" s="524"/>
      <c r="H67" s="524"/>
      <c r="I67" s="525"/>
      <c r="K67" s="519" t="s">
        <v>558</v>
      </c>
      <c r="L67" s="519"/>
      <c r="M67" s="519"/>
      <c r="N67" s="519"/>
      <c r="P67" s="519" t="s">
        <v>557</v>
      </c>
      <c r="Q67" s="519"/>
      <c r="R67" s="519"/>
      <c r="S67" s="519"/>
      <c r="V67" s="519" t="s">
        <v>555</v>
      </c>
      <c r="W67" s="519"/>
      <c r="X67" s="519"/>
      <c r="Y67" s="519"/>
    </row>
    <row r="68" spans="1:26" x14ac:dyDescent="0.3">
      <c r="A68" s="1" t="s">
        <v>601</v>
      </c>
      <c r="B68" s="275"/>
      <c r="C68" s="313" t="s">
        <v>602</v>
      </c>
      <c r="D68" s="285" t="s">
        <v>603</v>
      </c>
      <c r="F68" s="82" t="s">
        <v>601</v>
      </c>
      <c r="H68" s="82" t="s">
        <v>604</v>
      </c>
      <c r="I68" s="284" t="s">
        <v>603</v>
      </c>
      <c r="K68" s="82" t="s">
        <v>601</v>
      </c>
      <c r="M68" s="82" t="s">
        <v>604</v>
      </c>
      <c r="N68" s="284" t="s">
        <v>603</v>
      </c>
      <c r="P68" s="82" t="s">
        <v>601</v>
      </c>
      <c r="R68" s="82" t="s">
        <v>604</v>
      </c>
      <c r="S68" s="284" t="s">
        <v>603</v>
      </c>
      <c r="V68" s="82" t="s">
        <v>601</v>
      </c>
      <c r="X68" s="82" t="s">
        <v>604</v>
      </c>
      <c r="Y68" s="284" t="s">
        <v>603</v>
      </c>
    </row>
    <row r="69" spans="1:26" x14ac:dyDescent="0.3">
      <c r="A69" s="275" t="s">
        <v>2</v>
      </c>
      <c r="B69" s="290">
        <v>14976240</v>
      </c>
      <c r="C69" s="314">
        <v>210.71</v>
      </c>
      <c r="D69" s="290">
        <f>B69*C69</f>
        <v>3155643530.4000001</v>
      </c>
      <c r="E69" s="4"/>
      <c r="F69" s="275" t="s">
        <v>2</v>
      </c>
      <c r="G69" s="315">
        <v>3822803</v>
      </c>
      <c r="H69" s="316">
        <v>191.11</v>
      </c>
      <c r="I69" s="290">
        <f>G69*H69</f>
        <v>730575881.33000004</v>
      </c>
      <c r="J69" s="4"/>
      <c r="K69" s="275" t="s">
        <v>2</v>
      </c>
      <c r="L69" s="4">
        <v>1668902</v>
      </c>
      <c r="M69" s="316">
        <v>181.15</v>
      </c>
      <c r="N69" s="290">
        <f>M69*L69</f>
        <v>302321597.30000001</v>
      </c>
      <c r="O69" s="4"/>
      <c r="P69" s="275" t="s">
        <v>2</v>
      </c>
      <c r="Q69" s="4">
        <v>1848868</v>
      </c>
      <c r="R69" s="316">
        <v>171.33</v>
      </c>
      <c r="S69" s="290">
        <f>R69*Q69</f>
        <v>316766554.44</v>
      </c>
      <c r="T69" s="4"/>
      <c r="V69" s="275" t="s">
        <v>2</v>
      </c>
      <c r="W69" s="4">
        <v>-49045</v>
      </c>
      <c r="X69" s="316">
        <v>155.4</v>
      </c>
      <c r="Y69" s="290">
        <f>X69*W69</f>
        <v>-7621593</v>
      </c>
      <c r="Z69" s="4"/>
    </row>
    <row r="70" spans="1:26" x14ac:dyDescent="0.3">
      <c r="A70" s="275" t="s">
        <v>605</v>
      </c>
      <c r="B70" s="290">
        <v>1664926</v>
      </c>
      <c r="C70" s="290">
        <v>210.71</v>
      </c>
      <c r="D70" s="290">
        <f>B70*C70</f>
        <v>350816557.46000004</v>
      </c>
      <c r="E70" s="4"/>
      <c r="F70" s="275" t="s">
        <v>605</v>
      </c>
      <c r="G70" s="290">
        <v>699275</v>
      </c>
      <c r="H70" s="316">
        <v>191.11</v>
      </c>
      <c r="I70" s="290">
        <f>G70*H70</f>
        <v>133638445.25000001</v>
      </c>
      <c r="J70" s="4"/>
      <c r="K70" s="275" t="s">
        <v>605</v>
      </c>
      <c r="L70" s="290">
        <v>649649</v>
      </c>
      <c r="M70" s="316">
        <v>181.15</v>
      </c>
      <c r="N70" s="290">
        <f t="shared" ref="N70:N74" si="9">L70*M70</f>
        <v>117683916.35000001</v>
      </c>
      <c r="O70" s="4"/>
      <c r="P70" s="275" t="s">
        <v>605</v>
      </c>
      <c r="Q70" s="290">
        <v>723367</v>
      </c>
      <c r="R70" s="316">
        <v>171.33</v>
      </c>
      <c r="S70" s="290">
        <f t="shared" ref="S70:S74" si="10">Q70*R70</f>
        <v>123934468.11000001</v>
      </c>
      <c r="T70" s="4"/>
      <c r="V70" s="275" t="s">
        <v>605</v>
      </c>
      <c r="W70" s="290">
        <v>542475</v>
      </c>
      <c r="X70" s="316">
        <v>155.4</v>
      </c>
      <c r="Y70" s="290">
        <f t="shared" ref="Y70:Y74" si="11">W70*X70</f>
        <v>84300615</v>
      </c>
      <c r="Z70" s="4"/>
    </row>
    <row r="71" spans="1:26" x14ac:dyDescent="0.3">
      <c r="A71" s="275" t="s">
        <v>606</v>
      </c>
      <c r="B71" s="290">
        <v>1114889</v>
      </c>
      <c r="C71" s="290">
        <v>210.71</v>
      </c>
      <c r="D71" s="290">
        <f>B71*C71</f>
        <v>234918261.19</v>
      </c>
      <c r="E71" s="4"/>
      <c r="F71" s="275" t="s">
        <v>606</v>
      </c>
      <c r="G71" s="290">
        <v>110278</v>
      </c>
      <c r="H71" s="316">
        <v>191.11</v>
      </c>
      <c r="I71" s="290">
        <f>G71*H71</f>
        <v>21075228.580000002</v>
      </c>
      <c r="J71" s="4"/>
      <c r="K71" s="275" t="s">
        <v>606</v>
      </c>
      <c r="L71" s="290">
        <v>155970</v>
      </c>
      <c r="M71" s="316">
        <v>181.15</v>
      </c>
      <c r="N71" s="290">
        <f t="shared" si="9"/>
        <v>28253965.5</v>
      </c>
      <c r="O71" s="4"/>
      <c r="P71" s="275" t="s">
        <v>606</v>
      </c>
      <c r="Q71" s="290">
        <v>268026</v>
      </c>
      <c r="R71" s="316">
        <v>171.33</v>
      </c>
      <c r="S71" s="290">
        <f t="shared" si="10"/>
        <v>45920894.580000006</v>
      </c>
      <c r="T71" s="4"/>
      <c r="V71" s="275" t="s">
        <v>606</v>
      </c>
      <c r="W71" s="290">
        <v>286107</v>
      </c>
      <c r="X71" s="316">
        <v>155.4</v>
      </c>
      <c r="Y71" s="290">
        <f t="shared" si="11"/>
        <v>44461027.800000004</v>
      </c>
      <c r="Z71" s="4"/>
    </row>
    <row r="72" spans="1:26" x14ac:dyDescent="0.3">
      <c r="A72" s="82" t="s">
        <v>607</v>
      </c>
      <c r="B72" s="317">
        <f>SUM(B69:B71)</f>
        <v>17756055</v>
      </c>
      <c r="C72" s="290"/>
      <c r="D72" s="317">
        <f>SUM(D69:D71)</f>
        <v>3741378349.0500002</v>
      </c>
      <c r="E72" s="318">
        <f>D72/1000</f>
        <v>3741378.3490500003</v>
      </c>
      <c r="F72" s="82" t="s">
        <v>608</v>
      </c>
      <c r="G72" s="317"/>
      <c r="H72" s="316"/>
      <c r="I72" s="317">
        <f>SUM(I69:I71)</f>
        <v>885289555.16000009</v>
      </c>
      <c r="J72" s="318">
        <f>I72/1000</f>
        <v>885289.55516000011</v>
      </c>
      <c r="K72" s="82" t="s">
        <v>608</v>
      </c>
      <c r="L72" s="317"/>
      <c r="M72" s="316"/>
      <c r="N72" s="317">
        <f>SUM(N69:N71)</f>
        <v>448259479.15000004</v>
      </c>
      <c r="O72" s="318">
        <f>N72/1000</f>
        <v>448259.47915000003</v>
      </c>
      <c r="P72" s="82" t="s">
        <v>607</v>
      </c>
      <c r="Q72" s="317"/>
      <c r="R72" s="316"/>
      <c r="S72" s="317">
        <f>SUM(S69:S71)</f>
        <v>486621917.13</v>
      </c>
      <c r="T72" s="318">
        <f>S72/1000</f>
        <v>486621.91713000002</v>
      </c>
      <c r="U72" s="1"/>
      <c r="V72" s="82" t="s">
        <v>607</v>
      </c>
      <c r="W72" s="317"/>
      <c r="X72" s="316"/>
      <c r="Y72" s="317">
        <f>SUM(Y69:Y71)</f>
        <v>121140049.80000001</v>
      </c>
      <c r="Z72" s="318">
        <f>Y72/1000</f>
        <v>121140.04980000001</v>
      </c>
    </row>
    <row r="73" spans="1:26" x14ac:dyDescent="0.3">
      <c r="A73" s="275" t="s">
        <v>609</v>
      </c>
      <c r="B73" s="290">
        <v>3420565</v>
      </c>
      <c r="C73" s="290">
        <v>210.71</v>
      </c>
      <c r="D73" s="290">
        <f>B73*C73</f>
        <v>720747251.14999998</v>
      </c>
      <c r="E73" s="4"/>
      <c r="F73" s="275" t="s">
        <v>609</v>
      </c>
      <c r="G73" s="290">
        <f>2171989+4880</f>
        <v>2176869</v>
      </c>
      <c r="H73" s="316">
        <v>191.11</v>
      </c>
      <c r="I73" s="290">
        <f>G73*H73</f>
        <v>416021434.59000003</v>
      </c>
      <c r="J73" s="4"/>
      <c r="K73" s="275" t="s">
        <v>609</v>
      </c>
      <c r="L73" s="290">
        <v>2126025</v>
      </c>
      <c r="M73" s="316">
        <v>181.15</v>
      </c>
      <c r="N73" s="290">
        <f t="shared" si="9"/>
        <v>385129428.75</v>
      </c>
      <c r="O73" s="4"/>
      <c r="P73" s="275" t="s">
        <v>609</v>
      </c>
      <c r="Q73" s="290">
        <v>2020888</v>
      </c>
      <c r="R73" s="316">
        <v>171.33</v>
      </c>
      <c r="S73" s="290">
        <f t="shared" si="10"/>
        <v>346238741.04000002</v>
      </c>
      <c r="T73" s="4"/>
      <c r="V73" s="275" t="s">
        <v>609</v>
      </c>
      <c r="W73" s="290">
        <v>1955485</v>
      </c>
      <c r="X73" s="316">
        <v>155.4</v>
      </c>
      <c r="Y73" s="290">
        <f t="shared" si="11"/>
        <v>303882369</v>
      </c>
      <c r="Z73" s="4"/>
    </row>
    <row r="74" spans="1:26" x14ac:dyDescent="0.3">
      <c r="A74" s="275" t="s">
        <v>610</v>
      </c>
      <c r="B74" s="290">
        <v>92175</v>
      </c>
      <c r="C74" s="290">
        <v>210.71</v>
      </c>
      <c r="D74" s="290">
        <f>B74*C74</f>
        <v>19422194.25</v>
      </c>
      <c r="E74" s="4"/>
      <c r="F74" s="275" t="s">
        <v>610</v>
      </c>
      <c r="G74" s="290">
        <v>49515</v>
      </c>
      <c r="H74" s="316">
        <v>191.11</v>
      </c>
      <c r="I74" s="290">
        <f>G74*H74</f>
        <v>9462811.6500000004</v>
      </c>
      <c r="J74" s="4"/>
      <c r="K74" s="275" t="s">
        <v>610</v>
      </c>
      <c r="L74" s="290">
        <v>57816</v>
      </c>
      <c r="M74" s="316">
        <v>181.15</v>
      </c>
      <c r="N74" s="290">
        <f t="shared" si="9"/>
        <v>10473368.4</v>
      </c>
      <c r="O74" s="4"/>
      <c r="P74" s="275" t="s">
        <v>610</v>
      </c>
      <c r="Q74" s="290">
        <v>93538</v>
      </c>
      <c r="R74" s="316">
        <v>171.33</v>
      </c>
      <c r="S74" s="290">
        <f t="shared" si="10"/>
        <v>16025865.540000001</v>
      </c>
      <c r="T74" s="4"/>
      <c r="V74" s="275" t="s">
        <v>610</v>
      </c>
      <c r="W74" s="290">
        <v>143410</v>
      </c>
      <c r="X74" s="316">
        <v>155.4</v>
      </c>
      <c r="Y74" s="290">
        <f t="shared" si="11"/>
        <v>22285914</v>
      </c>
      <c r="Z74" s="4"/>
    </row>
    <row r="75" spans="1:26" x14ac:dyDescent="0.3">
      <c r="A75" s="533" t="s">
        <v>611</v>
      </c>
      <c r="B75" s="317">
        <f>SUM(B69:B74)</f>
        <v>39024850</v>
      </c>
      <c r="C75" s="316" t="s">
        <v>250</v>
      </c>
      <c r="D75" s="317">
        <f>SUM(D72:D74)</f>
        <v>4481547794.4499998</v>
      </c>
      <c r="E75" s="4"/>
      <c r="F75" s="533" t="s">
        <v>611</v>
      </c>
      <c r="G75" s="317">
        <f>SUM(G69:G74)</f>
        <v>6858740</v>
      </c>
      <c r="H75" s="316" t="s">
        <v>250</v>
      </c>
      <c r="I75" s="317">
        <f>SUM(I72:I74)</f>
        <v>1310773801.4000001</v>
      </c>
      <c r="J75" s="4"/>
      <c r="K75" s="533" t="s">
        <v>611</v>
      </c>
      <c r="L75" s="317">
        <f>SUM(L69:L74)</f>
        <v>4658362</v>
      </c>
      <c r="M75" s="316" t="s">
        <v>250</v>
      </c>
      <c r="N75" s="317">
        <f>SUM(N72:N74)</f>
        <v>843862276.30000007</v>
      </c>
      <c r="O75" s="4"/>
      <c r="P75" s="535" t="s">
        <v>611</v>
      </c>
      <c r="Q75" s="317">
        <f>SUM(Q69:Q74)</f>
        <v>4954687</v>
      </c>
      <c r="R75" s="316" t="s">
        <v>250</v>
      </c>
      <c r="S75" s="317">
        <f>SUM(S72:S74)</f>
        <v>848886523.71000004</v>
      </c>
      <c r="T75" s="4"/>
      <c r="V75" s="533" t="s">
        <v>611</v>
      </c>
      <c r="W75" s="317">
        <f>SUM(W69:W74)</f>
        <v>2878432</v>
      </c>
      <c r="X75" s="316" t="s">
        <v>250</v>
      </c>
      <c r="Y75" s="317">
        <f>SUM(Y72:Y74)</f>
        <v>447308332.80000001</v>
      </c>
      <c r="Z75" s="4"/>
    </row>
    <row r="76" spans="1:26" x14ac:dyDescent="0.3">
      <c r="A76" s="534"/>
      <c r="B76" s="526">
        <f>D75/1000</f>
        <v>4481547.7944499999</v>
      </c>
      <c r="C76" s="526"/>
      <c r="D76" s="526"/>
      <c r="E76" s="4"/>
      <c r="F76" s="534"/>
      <c r="G76" s="527">
        <f>I75/1000</f>
        <v>1310773.8014</v>
      </c>
      <c r="H76" s="528"/>
      <c r="I76" s="529"/>
      <c r="J76" s="4"/>
      <c r="K76" s="534"/>
      <c r="L76" s="530">
        <f>N75/1000</f>
        <v>843862.27630000003</v>
      </c>
      <c r="M76" s="531"/>
      <c r="N76" s="532"/>
      <c r="O76" s="4"/>
      <c r="P76" s="536"/>
      <c r="Q76" s="530">
        <f>S75/1000</f>
        <v>848886.5237100001</v>
      </c>
      <c r="R76" s="531"/>
      <c r="S76" s="532"/>
      <c r="T76" s="4"/>
      <c r="V76" s="534"/>
      <c r="W76" s="526">
        <f>Y75/1000</f>
        <v>447308.33280000003</v>
      </c>
      <c r="X76" s="526"/>
      <c r="Y76" s="526"/>
      <c r="Z76" s="4"/>
    </row>
    <row r="77" spans="1:26" x14ac:dyDescent="0.3">
      <c r="B77" s="319"/>
      <c r="C77" s="86"/>
      <c r="D77" s="320"/>
      <c r="G77" s="319"/>
      <c r="H77" s="86"/>
      <c r="I77" s="320"/>
      <c r="L77" s="319"/>
      <c r="M77" s="86"/>
      <c r="N77" s="320"/>
      <c r="Q77" s="319"/>
      <c r="R77" s="86"/>
      <c r="S77" s="320"/>
      <c r="W77" s="319"/>
      <c r="X77" s="86"/>
      <c r="Y77" s="320"/>
    </row>
    <row r="78" spans="1:26" x14ac:dyDescent="0.3">
      <c r="A78" s="1" t="s">
        <v>612</v>
      </c>
    </row>
    <row r="79" spans="1:26" x14ac:dyDescent="0.3">
      <c r="A79" s="520" t="s">
        <v>613</v>
      </c>
      <c r="B79" s="520"/>
      <c r="C79" s="520"/>
      <c r="D79" s="520"/>
      <c r="E79" s="520"/>
      <c r="F79" s="520"/>
      <c r="G79" s="520"/>
    </row>
    <row r="80" spans="1:26" x14ac:dyDescent="0.3">
      <c r="A80" s="520" t="s">
        <v>614</v>
      </c>
      <c r="B80" s="520"/>
      <c r="C80" s="520"/>
      <c r="D80" s="520"/>
      <c r="E80" s="520"/>
      <c r="F80" s="520"/>
      <c r="G80" s="520"/>
      <c r="H80" s="520"/>
    </row>
    <row r="81" spans="1:25" x14ac:dyDescent="0.3">
      <c r="A81" s="520"/>
      <c r="B81" s="520"/>
      <c r="C81" s="520"/>
      <c r="D81" s="520"/>
      <c r="E81" s="520"/>
      <c r="F81" s="520"/>
      <c r="G81" s="520"/>
    </row>
    <row r="84" spans="1:25" x14ac:dyDescent="0.3">
      <c r="B84" s="519" t="s">
        <v>560</v>
      </c>
      <c r="C84" s="519"/>
      <c r="D84" s="519"/>
      <c r="G84" s="523" t="s">
        <v>559</v>
      </c>
      <c r="H84" s="524"/>
      <c r="I84" s="525"/>
      <c r="L84" s="519" t="s">
        <v>558</v>
      </c>
      <c r="M84" s="519"/>
      <c r="N84" s="519"/>
      <c r="Q84" s="519" t="s">
        <v>557</v>
      </c>
      <c r="R84" s="519"/>
      <c r="S84" s="519"/>
      <c r="W84" s="519" t="s">
        <v>555</v>
      </c>
      <c r="X84" s="519"/>
      <c r="Y84" s="519"/>
    </row>
    <row r="85" spans="1:25" x14ac:dyDescent="0.3">
      <c r="A85" s="1" t="s">
        <v>615</v>
      </c>
      <c r="C85" s="82" t="s">
        <v>616</v>
      </c>
      <c r="D85" s="82" t="s">
        <v>617</v>
      </c>
      <c r="F85" s="1" t="s">
        <v>615</v>
      </c>
      <c r="H85" s="82" t="s">
        <v>618</v>
      </c>
      <c r="I85" s="82" t="s">
        <v>617</v>
      </c>
      <c r="K85" s="1" t="s">
        <v>615</v>
      </c>
      <c r="M85" s="82" t="s">
        <v>619</v>
      </c>
      <c r="N85" s="82" t="s">
        <v>617</v>
      </c>
      <c r="P85" s="1" t="s">
        <v>615</v>
      </c>
      <c r="R85" s="82" t="s">
        <v>620</v>
      </c>
      <c r="S85" s="82" t="s">
        <v>617</v>
      </c>
      <c r="V85" s="1" t="s">
        <v>615</v>
      </c>
      <c r="X85" s="82" t="s">
        <v>621</v>
      </c>
      <c r="Y85" s="82" t="s">
        <v>617</v>
      </c>
    </row>
    <row r="86" spans="1:25" x14ac:dyDescent="0.3">
      <c r="A86" s="275" t="s">
        <v>2</v>
      </c>
      <c r="B86" s="321">
        <v>653.28</v>
      </c>
      <c r="C86" s="275">
        <v>3.87</v>
      </c>
      <c r="D86" s="322">
        <f>B86*C86</f>
        <v>2528.1936000000001</v>
      </c>
      <c r="F86" s="275" t="s">
        <v>2</v>
      </c>
      <c r="G86" s="321">
        <v>135.34</v>
      </c>
      <c r="H86" s="275">
        <v>2.6688000000000001</v>
      </c>
      <c r="I86" s="322">
        <f>G86*H86</f>
        <v>361.19539200000003</v>
      </c>
      <c r="K86" s="275" t="s">
        <v>2</v>
      </c>
      <c r="L86" s="321">
        <v>398.8</v>
      </c>
      <c r="M86" s="275">
        <v>2.5167000000000002</v>
      </c>
      <c r="N86" s="322">
        <f>L86*M86</f>
        <v>1003.6599600000001</v>
      </c>
      <c r="P86" s="275" t="s">
        <v>2</v>
      </c>
      <c r="Q86" s="321">
        <v>56159.03</v>
      </c>
      <c r="R86" s="275">
        <v>2.5322</v>
      </c>
      <c r="S86" s="322">
        <f>Q86*R86</f>
        <v>142205.895766</v>
      </c>
      <c r="V86" s="275" t="s">
        <v>2</v>
      </c>
      <c r="W86" s="321">
        <v>50651.457000000002</v>
      </c>
      <c r="X86" s="275">
        <v>2.3915000000000002</v>
      </c>
      <c r="Y86" s="322">
        <f>W86*X86</f>
        <v>121132.95941550001</v>
      </c>
    </row>
    <row r="87" spans="1:25" x14ac:dyDescent="0.3">
      <c r="A87" s="275" t="s">
        <v>622</v>
      </c>
      <c r="B87" s="276">
        <v>912.84</v>
      </c>
      <c r="C87" s="275">
        <v>3.87</v>
      </c>
      <c r="D87" s="322">
        <f t="shared" ref="D87:D89" si="12">B87*C87</f>
        <v>3532.6908000000003</v>
      </c>
      <c r="F87" s="275" t="s">
        <v>622</v>
      </c>
      <c r="G87" s="276">
        <f>(45.42+491.43+52.65)</f>
        <v>589.5</v>
      </c>
      <c r="H87" s="275">
        <v>2.6688000000000001</v>
      </c>
      <c r="I87" s="322">
        <f>G87*H87</f>
        <v>1573.2576000000001</v>
      </c>
      <c r="K87" s="275" t="s">
        <v>622</v>
      </c>
      <c r="L87" s="276">
        <f>(72.36+442.32+79.23)</f>
        <v>593.91</v>
      </c>
      <c r="M87" s="275">
        <v>2.5167000000000002</v>
      </c>
      <c r="N87" s="322">
        <f t="shared" ref="N87" si="13">L87*M87</f>
        <v>1494.693297</v>
      </c>
      <c r="P87" s="275" t="s">
        <v>622</v>
      </c>
      <c r="Q87" s="276">
        <v>57939.637000000002</v>
      </c>
      <c r="R87" s="275">
        <v>2.5322</v>
      </c>
      <c r="S87" s="322">
        <f>Q87*R87</f>
        <v>146714.7488114</v>
      </c>
      <c r="V87" s="275" t="s">
        <v>622</v>
      </c>
      <c r="W87" s="276"/>
      <c r="X87" s="275">
        <v>2.3915000000000002</v>
      </c>
      <c r="Y87" s="322">
        <f t="shared" ref="Y87" si="14">W87*X87</f>
        <v>0</v>
      </c>
    </row>
    <row r="88" spans="1:25" x14ac:dyDescent="0.3">
      <c r="A88" s="82" t="s">
        <v>607</v>
      </c>
      <c r="B88" s="274"/>
      <c r="C88" s="82"/>
      <c r="D88" s="323">
        <f>D86+D87</f>
        <v>6060.8844000000008</v>
      </c>
      <c r="F88" s="82" t="s">
        <v>607</v>
      </c>
      <c r="G88" s="274"/>
      <c r="H88" s="275"/>
      <c r="I88" s="323">
        <f>I86+I87</f>
        <v>1934.4529920000002</v>
      </c>
      <c r="K88" s="82" t="s">
        <v>607</v>
      </c>
      <c r="L88" s="274"/>
      <c r="M88" s="275"/>
      <c r="N88" s="323">
        <f>N86+N87</f>
        <v>2498.3532570000002</v>
      </c>
      <c r="P88" s="82" t="s">
        <v>607</v>
      </c>
      <c r="Q88" s="274"/>
      <c r="R88" s="275"/>
      <c r="S88" s="323">
        <f>S86+S87</f>
        <v>288920.6445774</v>
      </c>
      <c r="V88" s="82" t="s">
        <v>607</v>
      </c>
      <c r="W88" s="274"/>
      <c r="X88" s="275"/>
      <c r="Y88" s="323">
        <f>Y86+Y87</f>
        <v>121132.95941550001</v>
      </c>
    </row>
    <row r="89" spans="1:25" x14ac:dyDescent="0.3">
      <c r="A89" s="275" t="s">
        <v>623</v>
      </c>
      <c r="B89" s="321">
        <v>122.63</v>
      </c>
      <c r="C89" s="275">
        <v>3.87</v>
      </c>
      <c r="D89" s="322">
        <f t="shared" si="12"/>
        <v>474.57810000000001</v>
      </c>
      <c r="F89" s="275" t="s">
        <v>623</v>
      </c>
      <c r="G89" s="321">
        <v>124.42</v>
      </c>
      <c r="H89" s="275">
        <v>2.6688000000000001</v>
      </c>
      <c r="I89" s="322">
        <f>G89*H89</f>
        <v>332.05209600000001</v>
      </c>
      <c r="K89" s="275" t="s">
        <v>623</v>
      </c>
      <c r="L89" s="321">
        <v>125.67</v>
      </c>
      <c r="M89" s="275">
        <v>2.5167000000000002</v>
      </c>
      <c r="N89" s="322">
        <f t="shared" ref="N89" si="15">L89*M89</f>
        <v>316.27368900000005</v>
      </c>
      <c r="P89" s="275" t="s">
        <v>623</v>
      </c>
      <c r="Q89" s="321">
        <v>11546.837</v>
      </c>
      <c r="R89" s="275">
        <v>2.5322</v>
      </c>
      <c r="S89" s="322">
        <f t="shared" ref="S89" si="16">Q89*R89</f>
        <v>29238.900651399999</v>
      </c>
      <c r="V89" s="275" t="s">
        <v>623</v>
      </c>
      <c r="W89" s="321">
        <v>10477.300999999999</v>
      </c>
      <c r="X89" s="275">
        <v>2.3915000000000002</v>
      </c>
      <c r="Y89" s="322">
        <f t="shared" ref="Y89" si="17">W89*X89</f>
        <v>25056.465341499999</v>
      </c>
    </row>
    <row r="90" spans="1:25" x14ac:dyDescent="0.3">
      <c r="A90" s="275" t="s">
        <v>611</v>
      </c>
      <c r="B90" s="321">
        <f>SUM(B86:B89)</f>
        <v>1688.75</v>
      </c>
      <c r="C90" s="275"/>
      <c r="D90" s="323">
        <f>SUM(D88:D89)</f>
        <v>6535.4625000000005</v>
      </c>
      <c r="F90" s="275" t="s">
        <v>611</v>
      </c>
      <c r="G90" s="321"/>
      <c r="H90" s="275"/>
      <c r="I90" s="323">
        <f>SUM(I88:I89)</f>
        <v>2266.5050880000003</v>
      </c>
      <c r="K90" s="275" t="s">
        <v>611</v>
      </c>
      <c r="L90" s="321"/>
      <c r="M90" s="275"/>
      <c r="N90" s="323">
        <f>SUM(N88:N89)</f>
        <v>2814.6269460000003</v>
      </c>
      <c r="P90" s="275" t="s">
        <v>611</v>
      </c>
      <c r="Q90" s="321"/>
      <c r="R90" s="275"/>
      <c r="S90" s="323">
        <f>SUM(S88:S89)</f>
        <v>318159.54522879998</v>
      </c>
      <c r="V90" s="275" t="s">
        <v>611</v>
      </c>
      <c r="W90" s="321"/>
      <c r="X90" s="275"/>
      <c r="Y90" s="323">
        <f>SUM(Y88:Y89)</f>
        <v>146189.424757</v>
      </c>
    </row>
    <row r="91" spans="1:25" x14ac:dyDescent="0.3">
      <c r="B91" s="73"/>
      <c r="D91" s="320"/>
      <c r="G91" s="73"/>
      <c r="I91" s="320"/>
      <c r="L91" s="73"/>
      <c r="N91" s="320"/>
      <c r="Q91" s="73"/>
      <c r="S91" s="320"/>
      <c r="W91" s="73"/>
      <c r="Y91" s="320"/>
    </row>
    <row r="92" spans="1:25" x14ac:dyDescent="0.3">
      <c r="A92" s="1" t="s">
        <v>624</v>
      </c>
      <c r="B92" s="73"/>
      <c r="D92" s="320"/>
      <c r="G92" s="73"/>
      <c r="I92" s="320"/>
      <c r="L92" s="73"/>
      <c r="N92" s="320"/>
      <c r="Q92" s="73"/>
      <c r="S92" s="320"/>
      <c r="W92" s="73"/>
      <c r="Y92" s="320"/>
    </row>
    <row r="93" spans="1:25" x14ac:dyDescent="0.3">
      <c r="A93" s="520" t="s">
        <v>625</v>
      </c>
      <c r="B93" s="520"/>
      <c r="C93" s="520"/>
      <c r="D93" s="520"/>
      <c r="E93" s="520"/>
      <c r="F93" s="520"/>
      <c r="G93" s="520"/>
      <c r="I93" s="320"/>
      <c r="L93" s="73"/>
      <c r="N93" s="320"/>
      <c r="Q93" s="73"/>
      <c r="S93" s="320"/>
      <c r="W93" s="73"/>
      <c r="Y93" s="320"/>
    </row>
    <row r="94" spans="1:25" x14ac:dyDescent="0.3">
      <c r="A94" s="1"/>
      <c r="B94" s="73"/>
      <c r="D94" s="320"/>
      <c r="G94" s="73"/>
      <c r="I94" s="320"/>
      <c r="L94" s="73"/>
      <c r="N94" s="320"/>
      <c r="Q94" s="73"/>
      <c r="S94" s="320"/>
      <c r="W94" s="73"/>
      <c r="Y94" s="320"/>
    </row>
    <row r="95" spans="1:25" x14ac:dyDescent="0.3">
      <c r="A95" s="1"/>
      <c r="B95" s="73"/>
      <c r="D95" s="320"/>
      <c r="G95" s="73"/>
      <c r="I95" s="320"/>
      <c r="L95" s="73"/>
      <c r="N95" s="320"/>
      <c r="Q95" s="73"/>
      <c r="S95" s="320"/>
      <c r="W95" s="73"/>
      <c r="Y95" s="320"/>
    </row>
    <row r="98" spans="1:16" x14ac:dyDescent="0.3">
      <c r="A98" s="1" t="s">
        <v>626</v>
      </c>
      <c r="B98" s="284" t="s">
        <v>560</v>
      </c>
      <c r="D98" s="1" t="s">
        <v>626</v>
      </c>
      <c r="E98" s="284" t="s">
        <v>559</v>
      </c>
      <c r="G98" s="1" t="s">
        <v>626</v>
      </c>
      <c r="H98" s="284" t="s">
        <v>558</v>
      </c>
      <c r="K98" s="1" t="s">
        <v>626</v>
      </c>
      <c r="L98" s="284" t="s">
        <v>557</v>
      </c>
      <c r="N98" s="1" t="s">
        <v>626</v>
      </c>
      <c r="O98" s="284" t="s">
        <v>555</v>
      </c>
    </row>
    <row r="99" spans="1:16" x14ac:dyDescent="0.3">
      <c r="A99" s="275" t="s">
        <v>2</v>
      </c>
      <c r="B99" s="293">
        <v>721437.38399999996</v>
      </c>
      <c r="D99" s="275" t="s">
        <v>2</v>
      </c>
      <c r="E99" s="293">
        <v>609315.62600000005</v>
      </c>
      <c r="G99" s="275" t="s">
        <v>2</v>
      </c>
      <c r="H99" s="293">
        <v>506747.158</v>
      </c>
      <c r="K99" s="275" t="s">
        <v>2</v>
      </c>
      <c r="L99" s="324">
        <v>421787.603</v>
      </c>
      <c r="N99" s="275" t="s">
        <v>2</v>
      </c>
      <c r="O99" s="325">
        <v>414124.66499999998</v>
      </c>
      <c r="P99" s="3"/>
    </row>
    <row r="100" spans="1:16" x14ac:dyDescent="0.3">
      <c r="A100" s="275" t="s">
        <v>622</v>
      </c>
      <c r="B100" s="275">
        <v>74152.645000000004</v>
      </c>
      <c r="D100" s="275" t="s">
        <v>622</v>
      </c>
      <c r="E100" s="275">
        <f>(204.444+61448.577)</f>
        <v>61653.021000000001</v>
      </c>
      <c r="G100" s="275" t="s">
        <v>622</v>
      </c>
      <c r="H100" s="275">
        <f>(389.349+34472.985)</f>
        <v>34862.334000000003</v>
      </c>
      <c r="K100" s="275" t="s">
        <v>622</v>
      </c>
      <c r="L100" s="275">
        <f>(463.177+23396.084)</f>
        <v>23859.260999999999</v>
      </c>
      <c r="N100" s="275" t="s">
        <v>622</v>
      </c>
      <c r="O100" s="275">
        <v>21589.221000000001</v>
      </c>
      <c r="P100" s="3"/>
    </row>
    <row r="101" spans="1:16" x14ac:dyDescent="0.3">
      <c r="A101" s="82" t="s">
        <v>607</v>
      </c>
      <c r="B101" s="326">
        <f>B99+B100</f>
        <v>795590.02899999998</v>
      </c>
      <c r="D101" s="82" t="s">
        <v>607</v>
      </c>
      <c r="E101" s="326">
        <f>E99+E100</f>
        <v>670968.647</v>
      </c>
      <c r="G101" s="82" t="s">
        <v>607</v>
      </c>
      <c r="H101" s="326">
        <f>H99+H100</f>
        <v>541609.49199999997</v>
      </c>
      <c r="K101" s="82" t="s">
        <v>607</v>
      </c>
      <c r="L101" s="326">
        <f>L99+L100</f>
        <v>445646.864</v>
      </c>
      <c r="N101" s="82" t="s">
        <v>607</v>
      </c>
      <c r="O101" s="326">
        <f>O99+O100</f>
        <v>435713.886</v>
      </c>
    </row>
    <row r="102" spans="1:16" x14ac:dyDescent="0.3">
      <c r="A102" s="275" t="s">
        <v>609</v>
      </c>
      <c r="B102" s="293">
        <v>194010.99400000001</v>
      </c>
      <c r="D102" s="275" t="s">
        <v>609</v>
      </c>
      <c r="E102" s="293">
        <v>18949.387999999999</v>
      </c>
      <c r="G102" s="275" t="s">
        <v>609</v>
      </c>
      <c r="H102" s="293">
        <v>112580.664</v>
      </c>
      <c r="K102" s="275" t="s">
        <v>609</v>
      </c>
      <c r="L102" s="324">
        <v>85333.913</v>
      </c>
      <c r="N102" s="275" t="s">
        <v>609</v>
      </c>
      <c r="O102" s="324">
        <v>75368.5</v>
      </c>
    </row>
    <row r="103" spans="1:16" x14ac:dyDescent="0.3">
      <c r="A103" s="275" t="s">
        <v>610</v>
      </c>
      <c r="B103" s="293">
        <v>424.04899999999998</v>
      </c>
      <c r="D103" s="275" t="s">
        <v>610</v>
      </c>
      <c r="E103" s="293">
        <f>(2233.066+10426.375)</f>
        <v>12659.440999999999</v>
      </c>
      <c r="G103" s="275" t="s">
        <v>610</v>
      </c>
      <c r="H103" s="293">
        <v>3161.74</v>
      </c>
      <c r="K103" s="275" t="s">
        <v>610</v>
      </c>
      <c r="L103" s="293">
        <v>3382.424</v>
      </c>
      <c r="N103" s="275" t="s">
        <v>610</v>
      </c>
      <c r="O103" s="324">
        <v>2806.3560000000002</v>
      </c>
    </row>
    <row r="104" spans="1:16" x14ac:dyDescent="0.3">
      <c r="A104" s="275" t="s">
        <v>611</v>
      </c>
      <c r="B104" s="326">
        <f>SUM(B101:B103)</f>
        <v>990025.07200000004</v>
      </c>
      <c r="D104" s="275" t="s">
        <v>611</v>
      </c>
      <c r="E104" s="326">
        <f>SUM(E101:E103)</f>
        <v>702577.47600000002</v>
      </c>
      <c r="G104" s="275" t="s">
        <v>611</v>
      </c>
      <c r="H104" s="326">
        <f>SUM(H101:H103)</f>
        <v>657351.89599999995</v>
      </c>
      <c r="K104" s="275" t="s">
        <v>611</v>
      </c>
      <c r="L104" s="326">
        <f>SUM(L101:L103)</f>
        <v>534363.201</v>
      </c>
      <c r="N104" s="275" t="s">
        <v>611</v>
      </c>
      <c r="O104" s="326">
        <f>SUM(O101:O103)</f>
        <v>513888.74200000003</v>
      </c>
    </row>
    <row r="108" spans="1:16" x14ac:dyDescent="0.3">
      <c r="A108" s="298" t="s">
        <v>564</v>
      </c>
      <c r="B108" s="284" t="s">
        <v>560</v>
      </c>
      <c r="C108" s="284" t="s">
        <v>559</v>
      </c>
      <c r="D108" s="284" t="s">
        <v>558</v>
      </c>
      <c r="E108" s="284" t="s">
        <v>557</v>
      </c>
      <c r="F108" s="284" t="s">
        <v>555</v>
      </c>
    </row>
    <row r="109" spans="1:16" x14ac:dyDescent="0.3">
      <c r="A109" s="275" t="s">
        <v>571</v>
      </c>
      <c r="B109" s="3">
        <f>(( 5216232+7684322)-2952809)</f>
        <v>9947745</v>
      </c>
      <c r="C109" s="327">
        <f>(686672+2659000)-646002</f>
        <v>2699670</v>
      </c>
      <c r="D109" s="327">
        <f>( 3093659+ 134879)-102693</f>
        <v>3125845</v>
      </c>
      <c r="E109" s="327">
        <f>(2515434+187772)-50671</f>
        <v>2652535</v>
      </c>
      <c r="F109" s="327">
        <f>(3523499+1051925)-54449</f>
        <v>4520975</v>
      </c>
    </row>
    <row r="110" spans="1:16" x14ac:dyDescent="0.3">
      <c r="A110" s="275" t="s">
        <v>572</v>
      </c>
      <c r="B110" s="328">
        <f>((1829.93+7244.51)-15.41)*C86</f>
        <v>35058.446100000001</v>
      </c>
      <c r="C110" s="328">
        <f>((6899.52+ 186.21)-7.33)*H86</f>
        <v>18890.833920000001</v>
      </c>
      <c r="D110" s="328">
        <f>((25886.323+559650.194)-1677.181)*M86</f>
        <v>1469398.7909112002</v>
      </c>
      <c r="E110" s="328">
        <f>((51467.577+456168.052)-2544.927)*R86</f>
        <v>1278990.6756044</v>
      </c>
      <c r="F110" s="328">
        <f>((527157.813+45773.4)-25150.444)*X86</f>
        <v>1310017.7090634999</v>
      </c>
    </row>
    <row r="111" spans="1:16" x14ac:dyDescent="0.3">
      <c r="B111" s="2"/>
      <c r="C111" s="2"/>
      <c r="D111" s="2"/>
      <c r="E111" s="2"/>
      <c r="F111" s="2"/>
    </row>
    <row r="112" spans="1:16" x14ac:dyDescent="0.3">
      <c r="A112" s="521" t="s">
        <v>627</v>
      </c>
      <c r="B112" s="521"/>
      <c r="C112" s="521"/>
      <c r="D112" s="521"/>
      <c r="E112" s="2"/>
      <c r="F112" s="2"/>
    </row>
    <row r="115" spans="1:6" x14ac:dyDescent="0.3">
      <c r="A115" s="298" t="s">
        <v>628</v>
      </c>
      <c r="B115" s="284" t="s">
        <v>560</v>
      </c>
      <c r="C115" s="284" t="s">
        <v>559</v>
      </c>
      <c r="D115" s="284" t="s">
        <v>558</v>
      </c>
      <c r="E115" s="284" t="s">
        <v>557</v>
      </c>
      <c r="F115" s="284" t="s">
        <v>555</v>
      </c>
    </row>
    <row r="116" spans="1:6" x14ac:dyDescent="0.3">
      <c r="A116" s="275" t="s">
        <v>629</v>
      </c>
      <c r="B116" s="329">
        <f>('P&amp;L-SOFP-Ratios'!F50-'P&amp;L-SOFP-Ratios'!F75)/'Relative market valuation'!AQ6</f>
        <v>39.380905188105352</v>
      </c>
      <c r="C116" s="329">
        <f>('P&amp;L-SOFP-Ratios'!E50-'P&amp;L-SOFP-Ratios'!E75)/AG6</f>
        <v>24.78475405254186</v>
      </c>
      <c r="D116" s="329">
        <f>('P&amp;L-SOFP-Ratios'!D50-'P&amp;L-SOFP-Ratios'!D75)/W6</f>
        <v>22.292893101735725</v>
      </c>
      <c r="E116" s="329">
        <f>('P&amp;L-SOFP-Ratios'!C50-'P&amp;L-SOFP-Ratios'!C75)/M6</f>
        <v>19.837772587016708</v>
      </c>
      <c r="F116" s="329">
        <f>('P&amp;L-SOFP-Ratios'!B50-'P&amp;L-SOFP-Ratios'!B75)/C6</f>
        <v>16.669723360952041</v>
      </c>
    </row>
    <row r="117" spans="1:6" x14ac:dyDescent="0.3">
      <c r="A117" s="275" t="s">
        <v>571</v>
      </c>
      <c r="B117" s="327">
        <f>(36490744-(7352986+20031137))/AQ7</f>
        <v>21.91822006652826</v>
      </c>
      <c r="C117" s="327">
        <f>(11700867-(1716462+5758842))/AG7</f>
        <v>10.170272689213952</v>
      </c>
      <c r="D117" s="327">
        <f>(9420460-(1079084+4798212))/W7</f>
        <v>17.055679909117604</v>
      </c>
      <c r="E117" s="327">
        <f>(8475450-(953639+4342.458))/M7</f>
        <v>36.1867542879979</v>
      </c>
      <c r="F117" s="327">
        <f>( 7258576-(1051925+3523499))/C7</f>
        <v>12.91585878928313</v>
      </c>
    </row>
    <row r="118" spans="1:6" s="93" customFormat="1" x14ac:dyDescent="0.3">
      <c r="A118" s="330" t="s">
        <v>572</v>
      </c>
      <c r="B118" s="331">
        <f>((25876.59-20902.66)*C86)/AQ8</f>
        <v>0.1273581981123649</v>
      </c>
      <c r="C118" s="332">
        <f>((21395.53-(373.41+16746.54))*H86)/AG8</f>
        <v>1.1324488546163689</v>
      </c>
      <c r="D118" s="332">
        <f>((18550.44-(374.72+13946.05))*M86)/W8</f>
        <v>1.0564415288653348</v>
      </c>
      <c r="E118" s="331">
        <f>((13946.94-(664.67+9379.1))*R86)/M8</f>
        <v>0.98089608816903362</v>
      </c>
      <c r="F118" s="331">
        <f>((1317581.574-(55796.136+912797.169))*X86)/C8</f>
        <v>82.830206658677483</v>
      </c>
    </row>
    <row r="119" spans="1:6" x14ac:dyDescent="0.3">
      <c r="A119" s="275" t="s">
        <v>573</v>
      </c>
      <c r="B119" s="327">
        <f>(8246251.787-(2251159.333+2925900.419))/AQ9</f>
        <v>10.002471831254274</v>
      </c>
      <c r="C119" s="290">
        <f>(5826214.08-(1182346.123+1405759.356))/AG9</f>
        <v>10.552969440172994</v>
      </c>
      <c r="D119" s="327">
        <f>(5032477.643-(657797.383+1499404.356))/W9</f>
        <v>9.3705006489304523</v>
      </c>
      <c r="E119" s="327">
        <f>(4320457.712-(646948.752))/M9</f>
        <v>11.971935648208261</v>
      </c>
      <c r="F119" s="327">
        <f>(3660136.297-(766355.525+713614.837))/C9</f>
        <v>21.720947783388567</v>
      </c>
    </row>
    <row r="120" spans="1:6" x14ac:dyDescent="0.3">
      <c r="C120" s="2"/>
    </row>
    <row r="121" spans="1:6" x14ac:dyDescent="0.3">
      <c r="A121" s="522" t="s">
        <v>630</v>
      </c>
      <c r="B121" s="522"/>
      <c r="C121" s="522"/>
      <c r="D121" s="522"/>
    </row>
    <row r="124" spans="1:6" x14ac:dyDescent="0.3">
      <c r="A124" s="298" t="s">
        <v>631</v>
      </c>
      <c r="B124" s="284" t="s">
        <v>560</v>
      </c>
      <c r="C124" s="284" t="s">
        <v>559</v>
      </c>
      <c r="D124" s="284" t="s">
        <v>558</v>
      </c>
      <c r="E124" s="284" t="s">
        <v>557</v>
      </c>
      <c r="F124" s="284" t="s">
        <v>555</v>
      </c>
    </row>
    <row r="125" spans="1:6" x14ac:dyDescent="0.3">
      <c r="A125" s="275" t="s">
        <v>571</v>
      </c>
      <c r="B125" s="290">
        <f>7192.17*C69</f>
        <v>1515462.1407000001</v>
      </c>
      <c r="C125" s="290">
        <f>9166.07*H69</f>
        <v>1751727.6377000001</v>
      </c>
      <c r="D125" s="290">
        <f>2205.2*M69</f>
        <v>399471.98</v>
      </c>
      <c r="E125" s="290">
        <f>2927.55*R69</f>
        <v>501577.14150000009</v>
      </c>
      <c r="F125" s="290">
        <f>4235.513*X69</f>
        <v>658198.72019999998</v>
      </c>
    </row>
    <row r="126" spans="1:6" x14ac:dyDescent="0.3">
      <c r="A126" s="275" t="s">
        <v>572</v>
      </c>
      <c r="B126" s="290">
        <f>-871.9*C86</f>
        <v>-3374.2530000000002</v>
      </c>
      <c r="C126" s="290">
        <f>-726.26*H86</f>
        <v>-1938.242688</v>
      </c>
      <c r="D126" s="290">
        <f>-1025.23*M86</f>
        <v>-2580.1963410000003</v>
      </c>
      <c r="E126" s="290">
        <f>101846.278*R86</f>
        <v>257895.14515160001</v>
      </c>
      <c r="F126" s="290">
        <f>-48799.545*X86</f>
        <v>-116704.1118675</v>
      </c>
    </row>
    <row r="127" spans="1:6" x14ac:dyDescent="0.3">
      <c r="A127" s="275" t="s">
        <v>573</v>
      </c>
      <c r="B127" s="290">
        <v>166777.04199999999</v>
      </c>
      <c r="C127" s="290">
        <v>134842.89799999999</v>
      </c>
      <c r="D127" s="290">
        <v>970527.75100000005</v>
      </c>
      <c r="E127" s="290">
        <v>475200.27799999999</v>
      </c>
      <c r="F127" s="290">
        <v>327313.64500000002</v>
      </c>
    </row>
  </sheetData>
  <mergeCells count="42">
    <mergeCell ref="V4:AB4"/>
    <mergeCell ref="A4:A5"/>
    <mergeCell ref="B4:H4"/>
    <mergeCell ref="I4:J4"/>
    <mergeCell ref="L4:R4"/>
    <mergeCell ref="S4:T4"/>
    <mergeCell ref="B18:H18"/>
    <mergeCell ref="L18:R18"/>
    <mergeCell ref="V18:AB18"/>
    <mergeCell ref="AF18:AL18"/>
    <mergeCell ref="AP18:AV18"/>
    <mergeCell ref="AC4:AD4"/>
    <mergeCell ref="AF4:AL4"/>
    <mergeCell ref="AM4:AN4"/>
    <mergeCell ref="AP4:AV4"/>
    <mergeCell ref="AW4:AX4"/>
    <mergeCell ref="V67:Y67"/>
    <mergeCell ref="A75:A76"/>
    <mergeCell ref="F75:F76"/>
    <mergeCell ref="K75:K76"/>
    <mergeCell ref="P75:P76"/>
    <mergeCell ref="V75:V76"/>
    <mergeCell ref="W76:Y76"/>
    <mergeCell ref="A79:G79"/>
    <mergeCell ref="B67:D67"/>
    <mergeCell ref="F67:I67"/>
    <mergeCell ref="K67:N67"/>
    <mergeCell ref="P67:S67"/>
    <mergeCell ref="B76:D76"/>
    <mergeCell ref="G76:I76"/>
    <mergeCell ref="L76:N76"/>
    <mergeCell ref="Q76:S76"/>
    <mergeCell ref="W84:Y84"/>
    <mergeCell ref="A93:G93"/>
    <mergeCell ref="A112:D112"/>
    <mergeCell ref="A121:D121"/>
    <mergeCell ref="A80:H80"/>
    <mergeCell ref="A81:G81"/>
    <mergeCell ref="B84:D84"/>
    <mergeCell ref="G84:I84"/>
    <mergeCell ref="L84:N84"/>
    <mergeCell ref="Q84:S84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"/>
  <sheetViews>
    <sheetView workbookViewId="0">
      <selection activeCell="I22" sqref="I22"/>
    </sheetView>
  </sheetViews>
  <sheetFormatPr defaultRowHeight="14.4" x14ac:dyDescent="0.3"/>
  <cols>
    <col min="2" max="2" width="12" customWidth="1"/>
    <col min="4" max="5" width="14.6640625" bestFit="1" customWidth="1"/>
  </cols>
  <sheetData>
    <row r="1" spans="1:4" x14ac:dyDescent="0.3">
      <c r="A1" t="s">
        <v>140</v>
      </c>
      <c r="C1">
        <v>3595106</v>
      </c>
      <c r="D1" s="27"/>
    </row>
    <row r="2" spans="1:4" x14ac:dyDescent="0.3">
      <c r="A2" t="s">
        <v>141</v>
      </c>
      <c r="C2">
        <v>481677</v>
      </c>
      <c r="D2" s="27"/>
    </row>
    <row r="3" spans="1:4" x14ac:dyDescent="0.3">
      <c r="A3" t="s">
        <v>142</v>
      </c>
      <c r="C3">
        <f>C1+C2</f>
        <v>4076783</v>
      </c>
      <c r="D3" s="27"/>
    </row>
    <row r="5" spans="1:4" x14ac:dyDescent="0.3">
      <c r="A5" s="541" t="s">
        <v>140</v>
      </c>
      <c r="B5" s="541"/>
      <c r="C5" s="27">
        <f>(C1/C3)</f>
        <v>0.88184875182220879</v>
      </c>
    </row>
    <row r="6" spans="1:4" x14ac:dyDescent="0.3">
      <c r="A6" s="520" t="s">
        <v>141</v>
      </c>
      <c r="B6" s="520"/>
      <c r="C6" s="27">
        <f>C7-C5</f>
        <v>0.11815124817779121</v>
      </c>
    </row>
    <row r="7" spans="1:4" x14ac:dyDescent="0.3">
      <c r="A7" s="520" t="s">
        <v>142</v>
      </c>
      <c r="B7" s="520"/>
      <c r="C7" s="27">
        <v>1</v>
      </c>
    </row>
    <row r="28" spans="1:5" x14ac:dyDescent="0.3">
      <c r="A28" s="542" t="s">
        <v>143</v>
      </c>
      <c r="B28" s="543"/>
      <c r="C28" s="544"/>
      <c r="D28" s="82">
        <v>2022</v>
      </c>
      <c r="E28" s="82">
        <v>2021</v>
      </c>
    </row>
    <row r="29" spans="1:5" x14ac:dyDescent="0.3">
      <c r="A29" s="547" t="s">
        <v>144</v>
      </c>
      <c r="B29" s="547"/>
      <c r="C29" s="547"/>
      <c r="D29" s="84">
        <v>29438073</v>
      </c>
      <c r="E29" s="84">
        <v>20965296</v>
      </c>
    </row>
    <row r="30" spans="1:5" x14ac:dyDescent="0.3">
      <c r="A30" s="547" t="s">
        <v>145</v>
      </c>
      <c r="B30" s="547"/>
      <c r="C30" s="547"/>
      <c r="D30" s="84">
        <v>19311892</v>
      </c>
      <c r="E30" s="84">
        <v>11268147</v>
      </c>
    </row>
    <row r="31" spans="1:5" x14ac:dyDescent="0.3">
      <c r="A31" s="549" t="s">
        <v>146</v>
      </c>
      <c r="B31" s="550"/>
      <c r="C31" s="551"/>
      <c r="D31" s="84">
        <v>2900093</v>
      </c>
      <c r="E31" s="84">
        <v>1953322</v>
      </c>
    </row>
    <row r="32" spans="1:5" x14ac:dyDescent="0.3">
      <c r="A32" s="548" t="s">
        <v>147</v>
      </c>
      <c r="B32" s="548"/>
      <c r="C32" s="548"/>
      <c r="D32" s="84">
        <v>1331868</v>
      </c>
      <c r="E32" s="84">
        <v>521399</v>
      </c>
    </row>
    <row r="33" spans="1:4" x14ac:dyDescent="0.3">
      <c r="A33" s="546"/>
      <c r="B33" s="546"/>
      <c r="C33" s="546"/>
    </row>
    <row r="34" spans="1:4" x14ac:dyDescent="0.3">
      <c r="A34" s="545"/>
      <c r="B34" s="545"/>
      <c r="C34" s="545"/>
      <c r="D34" s="1"/>
    </row>
    <row r="36" spans="1:4" x14ac:dyDescent="0.3">
      <c r="A36" s="520"/>
      <c r="B36" s="520"/>
      <c r="C36" s="520"/>
    </row>
    <row r="37" spans="1:4" x14ac:dyDescent="0.3">
      <c r="A37" s="520"/>
      <c r="B37" s="520"/>
      <c r="C37" s="520"/>
    </row>
    <row r="38" spans="1:4" x14ac:dyDescent="0.3">
      <c r="A38" s="520"/>
      <c r="B38" s="520"/>
      <c r="C38" s="520"/>
    </row>
    <row r="39" spans="1:4" x14ac:dyDescent="0.3">
      <c r="A39" s="546"/>
      <c r="B39" s="546"/>
      <c r="C39" s="546"/>
    </row>
    <row r="51" spans="1:3" x14ac:dyDescent="0.3">
      <c r="A51" s="520" t="s">
        <v>148</v>
      </c>
      <c r="B51" s="520"/>
      <c r="C51" s="520"/>
    </row>
    <row r="52" spans="1:3" x14ac:dyDescent="0.3">
      <c r="A52" t="s">
        <v>149</v>
      </c>
      <c r="B52" s="83">
        <v>0.54</v>
      </c>
    </row>
    <row r="53" spans="1:3" x14ac:dyDescent="0.3">
      <c r="A53" t="s">
        <v>150</v>
      </c>
      <c r="B53" s="83">
        <v>0.44</v>
      </c>
    </row>
    <row r="54" spans="1:3" x14ac:dyDescent="0.3">
      <c r="A54" t="s">
        <v>151</v>
      </c>
      <c r="B54" s="83">
        <v>0.02</v>
      </c>
    </row>
  </sheetData>
  <mergeCells count="15">
    <mergeCell ref="A5:B5"/>
    <mergeCell ref="A6:B6"/>
    <mergeCell ref="A7:B7"/>
    <mergeCell ref="A51:C51"/>
    <mergeCell ref="A28:C28"/>
    <mergeCell ref="A34:C34"/>
    <mergeCell ref="A33:C33"/>
    <mergeCell ref="A37:C37"/>
    <mergeCell ref="A38:C38"/>
    <mergeCell ref="A36:C36"/>
    <mergeCell ref="A39:C39"/>
    <mergeCell ref="A30:C30"/>
    <mergeCell ref="A29:C29"/>
    <mergeCell ref="A32:C32"/>
    <mergeCell ref="A31:C3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7"/>
  <sheetViews>
    <sheetView zoomScale="85" zoomScaleNormal="85" workbookViewId="0">
      <selection activeCell="B81" sqref="B81"/>
    </sheetView>
  </sheetViews>
  <sheetFormatPr defaultRowHeight="14.4" x14ac:dyDescent="0.3"/>
  <cols>
    <col min="1" max="1" width="71.6640625" customWidth="1"/>
    <col min="2" max="2" width="14.88671875" bestFit="1" customWidth="1"/>
    <col min="3" max="5" width="14.33203125" bestFit="1" customWidth="1"/>
    <col min="6" max="6" width="18" bestFit="1" customWidth="1"/>
    <col min="7" max="11" width="14.33203125" bestFit="1" customWidth="1"/>
    <col min="16" max="17" width="10.33203125" bestFit="1" customWidth="1"/>
  </cols>
  <sheetData>
    <row r="1" spans="1:17" x14ac:dyDescent="0.3">
      <c r="A1" s="125"/>
      <c r="B1" s="120">
        <v>2018</v>
      </c>
      <c r="C1" s="120">
        <v>2019</v>
      </c>
      <c r="D1" s="120">
        <v>2020</v>
      </c>
      <c r="E1" s="121">
        <v>2021</v>
      </c>
      <c r="F1" s="121">
        <v>2022</v>
      </c>
      <c r="G1" s="119">
        <v>2023</v>
      </c>
      <c r="H1" s="119">
        <v>2024</v>
      </c>
      <c r="I1" s="119">
        <v>2025</v>
      </c>
      <c r="J1" s="119">
        <v>2026</v>
      </c>
      <c r="K1" s="119">
        <v>2027</v>
      </c>
      <c r="L1" s="13"/>
      <c r="P1" t="s">
        <v>515</v>
      </c>
      <c r="Q1" s="3">
        <v>22137641</v>
      </c>
    </row>
    <row r="2" spans="1:17" x14ac:dyDescent="0.3">
      <c r="A2" s="134" t="s">
        <v>514</v>
      </c>
      <c r="B2" s="135">
        <v>4.8000000000000001E-2</v>
      </c>
      <c r="C2" s="135">
        <v>0.05</v>
      </c>
      <c r="D2" s="135">
        <v>5.8000000000000003E-2</v>
      </c>
      <c r="E2" s="135">
        <v>0.2293</v>
      </c>
      <c r="F2" s="135">
        <v>0.193</v>
      </c>
      <c r="G2" s="136">
        <f>+AVERAGE(B2:F2)</f>
        <v>0.11566000000000001</v>
      </c>
      <c r="H2" s="136">
        <f t="shared" ref="H2:K2" si="0">+AVERAGE(C2:G2)</f>
        <v>0.129192</v>
      </c>
      <c r="I2" s="136">
        <f t="shared" si="0"/>
        <v>0.1450304</v>
      </c>
      <c r="J2" s="136">
        <f t="shared" si="0"/>
        <v>0.16243647999999999</v>
      </c>
      <c r="K2" s="136">
        <f t="shared" si="0"/>
        <v>0.14906377600000001</v>
      </c>
      <c r="L2" s="13"/>
    </row>
    <row r="3" spans="1:17" x14ac:dyDescent="0.3">
      <c r="B3" s="125"/>
      <c r="C3" s="125"/>
      <c r="D3" s="125"/>
      <c r="E3" s="125"/>
      <c r="F3" s="125"/>
      <c r="L3" s="13"/>
    </row>
    <row r="4" spans="1:17" x14ac:dyDescent="0.3">
      <c r="A4" s="134" t="s">
        <v>284</v>
      </c>
      <c r="B4" s="137">
        <f>+'P&amp;L-SOFP-Ratios'!B5</f>
        <v>24647488</v>
      </c>
      <c r="C4" s="137">
        <f>+'P&amp;L-SOFP-Ratios'!C5</f>
        <v>31746592</v>
      </c>
      <c r="D4" s="137">
        <f>+'P&amp;L-SOFP-Ratios'!D5</f>
        <v>33276976</v>
      </c>
      <c r="E4" s="137">
        <f>+'P&amp;L-SOFP-Ratios'!E5</f>
        <v>31780287</v>
      </c>
      <c r="F4" s="137">
        <f>+'P&amp;L-SOFP-Ratios'!F5</f>
        <v>49587964</v>
      </c>
      <c r="G4" s="138">
        <f>+F4*(1+G2)</f>
        <v>55323307.916240007</v>
      </c>
      <c r="H4" s="138">
        <f>+G4*(1+H2)</f>
        <v>62470636.712554887</v>
      </c>
      <c r="I4" s="138">
        <f>+H4*(I2+1)</f>
        <v>71530778.143231407</v>
      </c>
      <c r="J4" s="138">
        <f>+I4*(1+J2)</f>
        <v>83149985.956478849</v>
      </c>
      <c r="K4" s="138">
        <f>+J4*(1+K2)</f>
        <v>95544636.837498561</v>
      </c>
      <c r="L4" s="13"/>
    </row>
    <row r="5" spans="1:17" x14ac:dyDescent="0.3">
      <c r="C5" s="127"/>
      <c r="D5" s="127"/>
      <c r="E5" s="127"/>
      <c r="F5" s="139"/>
      <c r="L5" s="13"/>
    </row>
    <row r="6" spans="1:17" x14ac:dyDescent="0.3">
      <c r="A6" s="398" t="s">
        <v>285</v>
      </c>
      <c r="B6" s="398">
        <f>+'P&amp;L-SOFP-Ratios'!B5</f>
        <v>24647488</v>
      </c>
      <c r="C6" s="398">
        <f>+'P&amp;L-SOFP-Ratios'!C5</f>
        <v>31746592</v>
      </c>
      <c r="D6" s="398">
        <f>+'P&amp;L-SOFP-Ratios'!D5</f>
        <v>33276976</v>
      </c>
      <c r="E6" s="398">
        <f>+'P&amp;L-SOFP-Ratios'!E5</f>
        <v>31780287</v>
      </c>
      <c r="F6" s="398">
        <f>+'P&amp;L-SOFP-Ratios'!F5</f>
        <v>49587964</v>
      </c>
      <c r="L6" s="13"/>
    </row>
    <row r="7" spans="1:17" x14ac:dyDescent="0.3">
      <c r="A7" s="398" t="s">
        <v>286</v>
      </c>
      <c r="B7" s="398"/>
      <c r="C7" s="399">
        <f>+(C6/B6)-1</f>
        <v>0.28802545719872152</v>
      </c>
      <c r="D7" s="399">
        <f t="shared" ref="D7:F7" si="1">+(D6/C6)-1</f>
        <v>4.8206245256183777E-2</v>
      </c>
      <c r="E7" s="399">
        <f t="shared" si="1"/>
        <v>-4.4976713028251125E-2</v>
      </c>
      <c r="F7" s="399">
        <f t="shared" si="1"/>
        <v>0.5603371989686563</v>
      </c>
      <c r="L7" s="13"/>
    </row>
    <row r="8" spans="1:17" x14ac:dyDescent="0.3">
      <c r="A8" s="125"/>
      <c r="B8" s="125"/>
      <c r="C8" s="125"/>
      <c r="D8" s="125"/>
      <c r="E8" s="125"/>
      <c r="F8" s="125"/>
      <c r="L8" s="13"/>
    </row>
    <row r="9" spans="1:17" x14ac:dyDescent="0.3">
      <c r="L9" s="13"/>
    </row>
    <row r="10" spans="1:17" x14ac:dyDescent="0.3">
      <c r="L10" s="13"/>
    </row>
    <row r="11" spans="1:17" x14ac:dyDescent="0.3">
      <c r="L11" s="13"/>
    </row>
    <row r="12" spans="1:17" x14ac:dyDescent="0.3">
      <c r="L12" s="13"/>
    </row>
    <row r="13" spans="1:17" x14ac:dyDescent="0.3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</row>
    <row r="14" spans="1:17" x14ac:dyDescent="0.3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</row>
    <row r="15" spans="1:17" x14ac:dyDescent="0.3">
      <c r="B15" s="120">
        <v>2018</v>
      </c>
      <c r="C15" s="120">
        <v>2019</v>
      </c>
      <c r="D15" s="120">
        <v>2020</v>
      </c>
      <c r="E15" s="121">
        <v>2021</v>
      </c>
      <c r="F15" s="121">
        <v>2022</v>
      </c>
      <c r="G15" s="119">
        <v>2023</v>
      </c>
      <c r="H15" s="119">
        <v>2024</v>
      </c>
      <c r="I15" s="119">
        <v>2025</v>
      </c>
      <c r="J15" s="119">
        <v>2026</v>
      </c>
      <c r="K15" s="119">
        <v>2027</v>
      </c>
      <c r="L15" s="13"/>
    </row>
    <row r="16" spans="1:17" x14ac:dyDescent="0.3">
      <c r="A16" t="s">
        <v>287</v>
      </c>
      <c r="B16" s="339">
        <f>+B6</f>
        <v>24647488</v>
      </c>
      <c r="C16" s="339">
        <f>+C6</f>
        <v>31746592</v>
      </c>
      <c r="D16" s="339">
        <f>+D6</f>
        <v>33276976</v>
      </c>
      <c r="E16" s="339">
        <f>+E6</f>
        <v>31780287</v>
      </c>
      <c r="F16" s="339">
        <f>+F6</f>
        <v>49587964</v>
      </c>
      <c r="G16" s="392">
        <f>+G4</f>
        <v>55323307.916240007</v>
      </c>
      <c r="H16" s="392">
        <f>+H4</f>
        <v>62470636.712554887</v>
      </c>
      <c r="I16" s="392">
        <f>+I4</f>
        <v>71530778.143231407</v>
      </c>
      <c r="J16" s="392">
        <f>+J4</f>
        <v>83149985.956478849</v>
      </c>
      <c r="K16" s="392">
        <f>+K4</f>
        <v>95544636.837498561</v>
      </c>
      <c r="L16" s="13"/>
    </row>
    <row r="17" spans="1:19" s="67" customFormat="1" x14ac:dyDescent="0.3">
      <c r="A17" s="67" t="s">
        <v>292</v>
      </c>
      <c r="C17" s="67">
        <f>+(C16/B16)-1</f>
        <v>0.28802545719872152</v>
      </c>
      <c r="D17" s="67">
        <f>+(D16/C16)-1</f>
        <v>4.8206245256183777E-2</v>
      </c>
      <c r="E17" s="67">
        <f t="shared" ref="E17:K17" si="2">+(E16/D16)-1</f>
        <v>-4.4976713028251125E-2</v>
      </c>
      <c r="F17" s="67">
        <f t="shared" si="2"/>
        <v>0.5603371989686563</v>
      </c>
      <c r="G17" s="390">
        <f t="shared" si="2"/>
        <v>0.1156600000000001</v>
      </c>
      <c r="H17" s="390">
        <f t="shared" si="2"/>
        <v>0.12919199999999997</v>
      </c>
      <c r="I17" s="390">
        <f t="shared" si="2"/>
        <v>0.1450304</v>
      </c>
      <c r="J17" s="390">
        <f t="shared" si="2"/>
        <v>0.16243647999999999</v>
      </c>
      <c r="K17" s="390">
        <f t="shared" si="2"/>
        <v>0.14906377599999998</v>
      </c>
      <c r="L17" s="227"/>
      <c r="O17" s="372"/>
      <c r="P17" s="372"/>
      <c r="Q17" s="372"/>
      <c r="R17" s="372"/>
      <c r="S17" s="372"/>
    </row>
    <row r="18" spans="1:19" x14ac:dyDescent="0.3">
      <c r="B18" s="339"/>
      <c r="C18" s="340"/>
      <c r="D18" s="340"/>
      <c r="E18" s="340"/>
      <c r="F18" s="340"/>
      <c r="G18" s="393"/>
      <c r="H18" s="393"/>
      <c r="I18" s="393"/>
      <c r="J18" s="393"/>
      <c r="K18" s="393"/>
      <c r="L18" s="13"/>
    </row>
    <row r="19" spans="1:19" x14ac:dyDescent="0.3">
      <c r="A19" t="s">
        <v>65</v>
      </c>
      <c r="B19" s="339">
        <f>-'P&amp;L-SOFP-Ratios'!B6</f>
        <v>21736289</v>
      </c>
      <c r="C19" s="339">
        <f>-'P&amp;L-SOFP-Ratios'!C6</f>
        <v>28060534</v>
      </c>
      <c r="D19" s="339">
        <f>-'P&amp;L-SOFP-Ratios'!D6</f>
        <v>29047934</v>
      </c>
      <c r="E19" s="339">
        <f>-'P&amp;L-SOFP-Ratios'!E6</f>
        <v>27990328</v>
      </c>
      <c r="F19" s="339">
        <f>-'P&amp;L-SOFP-Ratios'!F6</f>
        <v>45010323</v>
      </c>
      <c r="G19" s="394">
        <f>+G16*G20</f>
        <v>48984618.906126283</v>
      </c>
      <c r="H19" s="394">
        <f t="shared" ref="H19:K19" si="3">+H16*H20</f>
        <v>55357244.466294162</v>
      </c>
      <c r="I19" s="394">
        <f t="shared" si="3"/>
        <v>63417787.946985133</v>
      </c>
      <c r="J19" s="394">
        <f t="shared" si="3"/>
        <v>73946424.973286226</v>
      </c>
      <c r="K19" s="394">
        <f t="shared" si="3"/>
        <v>85132898.25292702</v>
      </c>
      <c r="L19" s="13"/>
    </row>
    <row r="20" spans="1:19" s="67" customFormat="1" x14ac:dyDescent="0.3">
      <c r="A20" s="67" t="s">
        <v>291</v>
      </c>
      <c r="B20" s="67">
        <f>+B19/B16</f>
        <v>0.88188658414196208</v>
      </c>
      <c r="C20" s="67">
        <f t="shared" ref="C20:F20" si="4">+C19/C16</f>
        <v>0.88389122208771265</v>
      </c>
      <c r="D20" s="67">
        <f t="shared" si="4"/>
        <v>0.87291387294326261</v>
      </c>
      <c r="E20" s="67">
        <f t="shared" si="4"/>
        <v>0.88074497250449624</v>
      </c>
      <c r="F20" s="67">
        <f t="shared" si="4"/>
        <v>0.90768644988126557</v>
      </c>
      <c r="G20" s="390">
        <f>+AVERAGE(B20:F20)</f>
        <v>0.88542462031173985</v>
      </c>
      <c r="H20" s="390">
        <f t="shared" ref="H20:K20" si="5">+AVERAGE(C20:G20)</f>
        <v>0.88613222754569543</v>
      </c>
      <c r="I20" s="390">
        <f t="shared" si="5"/>
        <v>0.88658042863729192</v>
      </c>
      <c r="J20" s="390">
        <f t="shared" si="5"/>
        <v>0.88931373977609796</v>
      </c>
      <c r="K20" s="390">
        <f t="shared" si="5"/>
        <v>0.89102749323041819</v>
      </c>
      <c r="L20" s="227"/>
    </row>
    <row r="21" spans="1:19" x14ac:dyDescent="0.3">
      <c r="B21" s="340"/>
      <c r="C21" s="340"/>
      <c r="D21" s="340"/>
      <c r="E21" s="340"/>
      <c r="F21" s="340"/>
      <c r="G21" s="392"/>
      <c r="H21" s="392"/>
      <c r="I21" s="392"/>
      <c r="J21" s="392"/>
      <c r="K21" s="392"/>
      <c r="L21" s="13"/>
    </row>
    <row r="22" spans="1:19" x14ac:dyDescent="0.3">
      <c r="A22" t="s">
        <v>295</v>
      </c>
      <c r="B22" s="340">
        <f>+'P&amp;L-SOFP-Ratios'!B8</f>
        <v>237537</v>
      </c>
      <c r="C22" s="340">
        <f>+'P&amp;L-SOFP-Ratios'!C8</f>
        <v>246073</v>
      </c>
      <c r="D22" s="340">
        <f>+'P&amp;L-SOFP-Ratios'!D8</f>
        <v>172617</v>
      </c>
      <c r="E22" s="340">
        <f>+'P&amp;L-SOFP-Ratios'!E8</f>
        <v>185662</v>
      </c>
      <c r="F22" s="340">
        <f>+'P&amp;L-SOFP-Ratios'!F8</f>
        <v>151482</v>
      </c>
      <c r="G22" s="394">
        <f>+G16*G23</f>
        <v>348234.52641931362</v>
      </c>
      <c r="H22" s="394">
        <f t="shared" ref="H22:K22" si="6">+H16*H23</f>
        <v>351457.82204750733</v>
      </c>
      <c r="I22" s="394">
        <f t="shared" si="6"/>
        <v>372026.52867844759</v>
      </c>
      <c r="J22" s="394">
        <f t="shared" si="6"/>
        <v>432684.19436051219</v>
      </c>
      <c r="K22" s="394">
        <f t="shared" si="6"/>
        <v>484982.78733151522</v>
      </c>
      <c r="L22" s="13"/>
    </row>
    <row r="23" spans="1:19" s="67" customFormat="1" x14ac:dyDescent="0.3">
      <c r="A23" s="67" t="s">
        <v>296</v>
      </c>
      <c r="B23" s="67">
        <f>+B22/B16</f>
        <v>9.6373715650049201E-3</v>
      </c>
      <c r="C23" s="67">
        <f t="shared" ref="C23:F23" si="7">+C22/C16</f>
        <v>7.7511627074805384E-3</v>
      </c>
      <c r="D23" s="67">
        <f t="shared" si="7"/>
        <v>5.187280238444743E-3</v>
      </c>
      <c r="E23" s="67">
        <f t="shared" si="7"/>
        <v>5.8420491923184964E-3</v>
      </c>
      <c r="F23" s="67">
        <f t="shared" si="7"/>
        <v>3.0548138657195121E-3</v>
      </c>
      <c r="G23" s="390">
        <f>+AVERAGE(B23:F23)</f>
        <v>6.2945355137936417E-3</v>
      </c>
      <c r="H23" s="390">
        <f t="shared" ref="H23:K23" si="8">+AVERAGE(C23:G23)</f>
        <v>5.6259683035513857E-3</v>
      </c>
      <c r="I23" s="390">
        <f t="shared" si="8"/>
        <v>5.200929422765556E-3</v>
      </c>
      <c r="J23" s="390">
        <f t="shared" si="8"/>
        <v>5.2036592596297181E-3</v>
      </c>
      <c r="K23" s="390">
        <f t="shared" si="8"/>
        <v>5.0759812730919633E-3</v>
      </c>
      <c r="L23" s="227"/>
    </row>
    <row r="24" spans="1:19" x14ac:dyDescent="0.3">
      <c r="B24" s="339"/>
      <c r="C24" s="339"/>
      <c r="D24" s="339"/>
      <c r="E24" s="339"/>
      <c r="F24" s="339"/>
      <c r="G24" s="392"/>
      <c r="H24" s="392"/>
      <c r="I24" s="392"/>
      <c r="J24" s="392"/>
      <c r="K24" s="392"/>
      <c r="L24" s="13"/>
    </row>
    <row r="25" spans="1:19" x14ac:dyDescent="0.3">
      <c r="A25" t="s">
        <v>68</v>
      </c>
      <c r="B25" s="339">
        <f>-'P&amp;L-SOFP-Ratios'!B9</f>
        <v>138423</v>
      </c>
      <c r="C25" s="339">
        <f>-'P&amp;L-SOFP-Ratios'!C9</f>
        <v>168321</v>
      </c>
      <c r="D25" s="339">
        <f>-'P&amp;L-SOFP-Ratios'!D9</f>
        <v>195150</v>
      </c>
      <c r="E25" s="339">
        <f>-'P&amp;L-SOFP-Ratios'!E9</f>
        <v>177672</v>
      </c>
      <c r="F25" s="339">
        <f>-'P&amp;L-SOFP-Ratios'!F9</f>
        <v>369517</v>
      </c>
      <c r="G25" s="394">
        <f>+G16*G26</f>
        <v>330002.71407678776</v>
      </c>
      <c r="H25" s="394">
        <f>+H16*H26</f>
        <v>376995.31808933371</v>
      </c>
      <c r="I25" s="394">
        <f>+I16*I26</f>
        <v>442153.82619167317</v>
      </c>
      <c r="J25" s="394">
        <f>+J16*J26</f>
        <v>519245.67843077582</v>
      </c>
      <c r="K25" s="394">
        <f>+K16*K26</f>
        <v>609144.63262988708</v>
      </c>
      <c r="L25" s="13"/>
    </row>
    <row r="26" spans="1:19" s="67" customFormat="1" x14ac:dyDescent="0.3">
      <c r="A26" s="67" t="s">
        <v>288</v>
      </c>
      <c r="B26" s="67">
        <f>+B25/B16</f>
        <v>5.61610984454075E-3</v>
      </c>
      <c r="C26" s="67">
        <f>+C25/C16</f>
        <v>5.3020179299875713E-3</v>
      </c>
      <c r="D26" s="67">
        <f>+D25/D16</f>
        <v>5.8644150838706019E-3</v>
      </c>
      <c r="E26" s="67">
        <f>+E25/E16</f>
        <v>5.5906354778986105E-3</v>
      </c>
      <c r="F26" s="67">
        <f>+F25/F16</f>
        <v>7.4517477668572963E-3</v>
      </c>
      <c r="G26" s="390">
        <f>+AVERAGE(B26:F26)</f>
        <v>5.9649852206309657E-3</v>
      </c>
      <c r="H26" s="390">
        <f t="shared" ref="H26:K26" si="9">+AVERAGE(C26:G26)</f>
        <v>6.0347602958490095E-3</v>
      </c>
      <c r="I26" s="390">
        <f t="shared" si="9"/>
        <v>6.1813087690212962E-3</v>
      </c>
      <c r="J26" s="390">
        <f t="shared" si="9"/>
        <v>6.2446875060514356E-3</v>
      </c>
      <c r="K26" s="390">
        <f t="shared" si="9"/>
        <v>6.3754979116819998E-3</v>
      </c>
      <c r="L26" s="227"/>
    </row>
    <row r="27" spans="1:19" x14ac:dyDescent="0.3">
      <c r="B27" s="339"/>
      <c r="C27" s="339"/>
      <c r="D27" s="339"/>
      <c r="E27" s="339"/>
      <c r="F27" s="339"/>
      <c r="G27" s="392"/>
      <c r="H27" s="392"/>
      <c r="I27" s="392"/>
      <c r="J27" s="392"/>
      <c r="K27" s="392"/>
      <c r="L27" s="13"/>
    </row>
    <row r="28" spans="1:19" x14ac:dyDescent="0.3">
      <c r="A28" t="s">
        <v>1</v>
      </c>
      <c r="B28" s="339">
        <f>-'P&amp;L-SOFP-Ratios'!B10</f>
        <v>1199471</v>
      </c>
      <c r="C28" s="339">
        <f>-'P&amp;L-SOFP-Ratios'!C10</f>
        <v>1415749</v>
      </c>
      <c r="D28" s="339">
        <f>-'P&amp;L-SOFP-Ratios'!D10</f>
        <v>1428813</v>
      </c>
      <c r="E28" s="339">
        <f>-'P&amp;L-SOFP-Ratios'!E10</f>
        <v>1392044</v>
      </c>
      <c r="F28" s="339">
        <f>-'P&amp;L-SOFP-Ratios'!F10</f>
        <v>1743533</v>
      </c>
      <c r="G28" s="394">
        <f>+G16*G29</f>
        <v>2380671.0387038905</v>
      </c>
      <c r="H28" s="394">
        <f>+H16*H29</f>
        <v>2617854.4175915769</v>
      </c>
      <c r="I28" s="394">
        <f>+I16*I29</f>
        <v>2959040.0742608644</v>
      </c>
      <c r="J28" s="394">
        <f>+J16*J29</f>
        <v>3413593.4234443167</v>
      </c>
      <c r="K28" s="394">
        <f>+K16*K29</f>
        <v>3869912.2958378126</v>
      </c>
      <c r="L28" s="13"/>
    </row>
    <row r="29" spans="1:19" s="67" customFormat="1" x14ac:dyDescent="0.3">
      <c r="A29" s="67" t="s">
        <v>293</v>
      </c>
      <c r="B29" s="67">
        <f>+B28/B16</f>
        <v>4.8665040429272145E-2</v>
      </c>
      <c r="C29" s="67">
        <f>+C28/C16</f>
        <v>4.4595306482031208E-2</v>
      </c>
      <c r="D29" s="67">
        <f>+D28/D16</f>
        <v>4.2936984418295701E-2</v>
      </c>
      <c r="E29" s="67">
        <f>+E28/E16</f>
        <v>4.3802121736660211E-2</v>
      </c>
      <c r="F29" s="67">
        <f>+F28/F16</f>
        <v>3.5160407069747809E-2</v>
      </c>
      <c r="G29" s="390">
        <f>+AVERAGE(B29:F29)</f>
        <v>4.3031972027201416E-2</v>
      </c>
      <c r="H29" s="390">
        <f t="shared" ref="H29:K29" si="10">+AVERAGE(C29:G29)</f>
        <v>4.1905358346787262E-2</v>
      </c>
      <c r="I29" s="390">
        <f t="shared" si="10"/>
        <v>4.1367368719738486E-2</v>
      </c>
      <c r="J29" s="390">
        <f t="shared" si="10"/>
        <v>4.1053445580027034E-2</v>
      </c>
      <c r="K29" s="390">
        <f t="shared" si="10"/>
        <v>4.0503710348700407E-2</v>
      </c>
      <c r="L29" s="227"/>
    </row>
    <row r="30" spans="1:19" x14ac:dyDescent="0.3">
      <c r="B30" s="339"/>
      <c r="C30" s="339"/>
      <c r="D30" s="339"/>
      <c r="E30" s="339"/>
      <c r="F30" s="339"/>
      <c r="G30" s="392"/>
      <c r="H30" s="392"/>
      <c r="I30" s="392"/>
      <c r="J30" s="392"/>
      <c r="K30" s="392"/>
      <c r="L30" s="13"/>
    </row>
    <row r="31" spans="1:19" x14ac:dyDescent="0.3">
      <c r="A31" t="s">
        <v>69</v>
      </c>
      <c r="B31" s="341" t="str">
        <f>+'P&amp;L-SOFP-Ratios'!B11</f>
        <v>Nill</v>
      </c>
      <c r="C31" s="339">
        <f>+'P&amp;L-SOFP-Ratios'!C11</f>
        <v>-3412</v>
      </c>
      <c r="D31" s="339">
        <f>+'P&amp;L-SOFP-Ratios'!D11</f>
        <v>-49265</v>
      </c>
      <c r="E31" s="339">
        <f>+'P&amp;L-SOFP-Ratios'!E11</f>
        <v>35497</v>
      </c>
      <c r="F31" s="339">
        <f>+'P&amp;L-SOFP-Ratios'!F11</f>
        <v>-42970</v>
      </c>
      <c r="G31" s="392">
        <f>+G19*G32</f>
        <v>-13103.579443246579</v>
      </c>
      <c r="H31" s="392">
        <f>+H19*H32</f>
        <v>-17769.938404871518</v>
      </c>
      <c r="I31" s="392">
        <f>+I19*I32</f>
        <v>-23065.714031754898</v>
      </c>
      <c r="J31" s="392">
        <f>+J19*J32</f>
        <v>-10379.2657726667</v>
      </c>
      <c r="K31" s="392">
        <f>+K19*K32</f>
        <v>-33357.148079339</v>
      </c>
      <c r="L31" s="13"/>
    </row>
    <row r="32" spans="1:19" s="67" customFormat="1" x14ac:dyDescent="0.3">
      <c r="B32" s="67">
        <v>0</v>
      </c>
      <c r="C32" s="67">
        <f>+C31/C16</f>
        <v>-1.0747610326172964E-4</v>
      </c>
      <c r="D32" s="67">
        <f>+D31/D16</f>
        <v>-1.4804530315495014E-3</v>
      </c>
      <c r="E32" s="67">
        <f>+E31/E16</f>
        <v>1.1169502654271185E-3</v>
      </c>
      <c r="F32" s="67">
        <f>+F31/F16</f>
        <v>-8.6654092109932155E-4</v>
      </c>
      <c r="G32" s="390">
        <f>+AVERAGE(B32:F32)</f>
        <v>-2.6750395809668683E-4</v>
      </c>
      <c r="H32" s="390">
        <f t="shared" ref="H32:K32" si="11">+AVERAGE(C32:G32)</f>
        <v>-3.2100474971602413E-4</v>
      </c>
      <c r="I32" s="390">
        <f t="shared" si="11"/>
        <v>-3.6371047900688309E-4</v>
      </c>
      <c r="J32" s="390">
        <f t="shared" si="11"/>
        <v>-1.4036196849835943E-4</v>
      </c>
      <c r="K32" s="390">
        <f t="shared" si="11"/>
        <v>-3.9182441528345501E-4</v>
      </c>
      <c r="L32" s="227"/>
    </row>
    <row r="33" spans="1:12" x14ac:dyDescent="0.3">
      <c r="A33" s="128" t="s">
        <v>294</v>
      </c>
      <c r="B33" s="339"/>
      <c r="C33" s="339"/>
      <c r="D33" s="339"/>
      <c r="E33" s="339"/>
      <c r="F33" s="339"/>
      <c r="G33" s="392"/>
      <c r="H33" s="392"/>
      <c r="I33" s="392"/>
      <c r="J33" s="392"/>
      <c r="K33" s="392"/>
      <c r="L33" s="13"/>
    </row>
    <row r="34" spans="1:12" x14ac:dyDescent="0.3">
      <c r="A34" s="129" t="s">
        <v>0</v>
      </c>
      <c r="B34" s="339">
        <f>+B68</f>
        <v>106297</v>
      </c>
      <c r="C34" s="339">
        <f t="shared" ref="C34:K34" si="12">+C68</f>
        <v>101899</v>
      </c>
      <c r="D34" s="339">
        <f t="shared" si="12"/>
        <v>243825</v>
      </c>
      <c r="E34" s="339">
        <f t="shared" si="12"/>
        <v>276786</v>
      </c>
      <c r="F34" s="339">
        <f t="shared" si="12"/>
        <v>439838</v>
      </c>
      <c r="G34" s="392">
        <f t="shared" si="12"/>
        <v>200164.47906151362</v>
      </c>
      <c r="H34" s="392">
        <f t="shared" si="12"/>
        <v>222059.95067326774</v>
      </c>
      <c r="I34" s="392">
        <f t="shared" si="12"/>
        <v>236283.7075429752</v>
      </c>
      <c r="J34" s="392">
        <f t="shared" si="12"/>
        <v>233634.18911104253</v>
      </c>
      <c r="K34" s="392">
        <f t="shared" si="12"/>
        <v>225067.31898032589</v>
      </c>
      <c r="L34" s="13"/>
    </row>
    <row r="35" spans="1:12" x14ac:dyDescent="0.3">
      <c r="A35" s="129" t="s">
        <v>71</v>
      </c>
      <c r="B35" s="339">
        <f>+B78</f>
        <v>-99423</v>
      </c>
      <c r="C35" s="339">
        <f t="shared" ref="C35:K35" si="13">+C78</f>
        <v>-189486</v>
      </c>
      <c r="D35" s="339">
        <f t="shared" si="13"/>
        <v>-160292</v>
      </c>
      <c r="E35" s="339">
        <f t="shared" si="13"/>
        <v>-118851</v>
      </c>
      <c r="F35" s="339">
        <f t="shared" si="13"/>
        <v>-149221</v>
      </c>
      <c r="G35" s="392">
        <f t="shared" si="13"/>
        <v>-316132.18434485904</v>
      </c>
      <c r="H35" s="392">
        <f t="shared" si="13"/>
        <v>-287820.24862596567</v>
      </c>
      <c r="I35" s="392">
        <f t="shared" si="13"/>
        <v>-254366.06251647556</v>
      </c>
      <c r="J35" s="392">
        <f t="shared" si="13"/>
        <v>-214553.83392642476</v>
      </c>
      <c r="K35" s="392">
        <f t="shared" si="13"/>
        <v>-169412.69091861034</v>
      </c>
      <c r="L35" s="13"/>
    </row>
    <row r="36" spans="1:12" x14ac:dyDescent="0.3">
      <c r="A36" t="s">
        <v>127</v>
      </c>
      <c r="B36" s="339">
        <f>+B34+B35</f>
        <v>6874</v>
      </c>
      <c r="C36" s="339">
        <f t="shared" ref="C36:K36" si="14">+C34+C35</f>
        <v>-87587</v>
      </c>
      <c r="D36" s="339">
        <f t="shared" si="14"/>
        <v>83533</v>
      </c>
      <c r="E36" s="339">
        <f t="shared" si="14"/>
        <v>157935</v>
      </c>
      <c r="F36" s="339">
        <f t="shared" si="14"/>
        <v>290617</v>
      </c>
      <c r="G36" s="392">
        <f t="shared" si="14"/>
        <v>-115967.70528334542</v>
      </c>
      <c r="H36" s="392">
        <f t="shared" si="14"/>
        <v>-65760.297952697932</v>
      </c>
      <c r="I36" s="392">
        <f t="shared" si="14"/>
        <v>-18082.354973500362</v>
      </c>
      <c r="J36" s="392">
        <f t="shared" si="14"/>
        <v>19080.355184617772</v>
      </c>
      <c r="K36" s="392">
        <f t="shared" si="14"/>
        <v>55654.628061715543</v>
      </c>
      <c r="L36" s="13"/>
    </row>
    <row r="37" spans="1:12" x14ac:dyDescent="0.3">
      <c r="B37" s="339"/>
      <c r="C37" s="339"/>
      <c r="D37" s="339"/>
      <c r="E37" s="339"/>
      <c r="F37" s="339"/>
      <c r="G37" s="395"/>
      <c r="H37" s="395"/>
      <c r="I37" s="395"/>
      <c r="J37" s="395"/>
      <c r="K37" s="395"/>
      <c r="L37" s="13"/>
    </row>
    <row r="38" spans="1:12" x14ac:dyDescent="0.3">
      <c r="G38" s="386"/>
      <c r="H38" s="386"/>
      <c r="I38" s="386"/>
      <c r="J38" s="386"/>
      <c r="K38" s="386"/>
      <c r="L38" s="13"/>
    </row>
    <row r="39" spans="1:12" x14ac:dyDescent="0.3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</row>
    <row r="40" spans="1:12" ht="18" x14ac:dyDescent="0.35">
      <c r="A40" s="466" t="s">
        <v>341</v>
      </c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</row>
    <row r="41" spans="1:12" x14ac:dyDescent="0.3">
      <c r="B41" s="1">
        <v>2018</v>
      </c>
      <c r="C41" s="1">
        <v>2019</v>
      </c>
      <c r="D41" s="1">
        <v>2020</v>
      </c>
      <c r="E41" s="1">
        <v>2021</v>
      </c>
      <c r="F41" s="1">
        <v>2022</v>
      </c>
      <c r="G41" s="119">
        <v>2023</v>
      </c>
      <c r="H41" s="119">
        <v>2024</v>
      </c>
      <c r="I41" s="119">
        <v>2025</v>
      </c>
      <c r="J41" s="119">
        <v>2026</v>
      </c>
      <c r="K41" s="119">
        <v>2027</v>
      </c>
      <c r="L41" s="13"/>
    </row>
    <row r="42" spans="1:12" x14ac:dyDescent="0.3">
      <c r="A42" s="1" t="s">
        <v>2</v>
      </c>
      <c r="B42" s="4">
        <f>+'P&amp;L-SOFP-Ratios'!B16</f>
        <v>1817716</v>
      </c>
      <c r="C42" s="4">
        <f>+'P&amp;L-SOFP-Ratios'!C16</f>
        <v>2257062</v>
      </c>
      <c r="D42" s="4">
        <f>+'P&amp;L-SOFP-Ratios'!D16</f>
        <v>2811964</v>
      </c>
      <c r="E42" s="4">
        <f>+'P&amp;L-SOFP-Ratios'!E16</f>
        <v>2599337</v>
      </c>
      <c r="F42" s="4">
        <f>+'P&amp;L-SOFP-Ratios'!F16</f>
        <v>2863720</v>
      </c>
      <c r="G42" s="361">
        <f>+'P&amp;L-SOFP-Ratios'!G16</f>
        <v>3847178.4990257667</v>
      </c>
      <c r="H42" s="361">
        <f>+'P&amp;L-SOFP-Ratios'!H16</f>
        <v>4386470.0962697538</v>
      </c>
      <c r="I42" s="361">
        <f>+'P&amp;L-SOFP-Ratios'!I16</f>
        <v>5042674.7554669278</v>
      </c>
      <c r="J42" s="361">
        <f>+'P&amp;L-SOFP-Ratios'!J16</f>
        <v>5712107.1650899928</v>
      </c>
      <c r="K42" s="361">
        <f>+'P&amp;L-SOFP-Ratios'!K16</f>
        <v>6439961.923417734</v>
      </c>
      <c r="L42" s="13"/>
    </row>
    <row r="43" spans="1:12" x14ac:dyDescent="0.3">
      <c r="A43" t="s">
        <v>282</v>
      </c>
      <c r="B43" s="74">
        <v>236001</v>
      </c>
      <c r="C43" s="72">
        <v>396519</v>
      </c>
      <c r="D43" s="72">
        <v>497066</v>
      </c>
      <c r="E43" s="72">
        <v>477192</v>
      </c>
      <c r="F43" s="74">
        <v>434635</v>
      </c>
      <c r="G43" s="175">
        <f>+G42*FCFF!S3</f>
        <v>629398.40244061546</v>
      </c>
      <c r="H43" s="175">
        <f>+H42*FCFF!T3</f>
        <v>747103.5867966644</v>
      </c>
      <c r="I43" s="175">
        <f>+I42*FCFF!U3</f>
        <v>853139.88582891668</v>
      </c>
      <c r="J43" s="175">
        <f>+J42*FCFF!V3</f>
        <v>958610.39413113461</v>
      </c>
      <c r="K43" s="175">
        <f>+K42*FCFF!W3</f>
        <v>1059920.8755672309</v>
      </c>
      <c r="L43" s="13"/>
    </row>
    <row r="44" spans="1:12" x14ac:dyDescent="0.3">
      <c r="A44" t="s">
        <v>297</v>
      </c>
      <c r="B44" s="74">
        <v>-40502</v>
      </c>
      <c r="C44" s="72">
        <v>-140469</v>
      </c>
      <c r="D44" s="72">
        <v>-67352</v>
      </c>
      <c r="E44" s="72">
        <v>-159579</v>
      </c>
      <c r="F44" s="74">
        <v>-96297</v>
      </c>
      <c r="G44" s="175">
        <f>-G16*G45</f>
        <v>-166580.59705970777</v>
      </c>
      <c r="H44" s="175">
        <f>-H16*H45</f>
        <v>-205190.79053240333</v>
      </c>
      <c r="I44" s="175">
        <f>-I16*I45</f>
        <v>-218639.25036417809</v>
      </c>
      <c r="J44" s="175">
        <f>-J16*J45</f>
        <v>-271326.27394367964</v>
      </c>
      <c r="K44" s="175">
        <f>-K16*K45</f>
        <v>-278173.38668931008</v>
      </c>
      <c r="L44" s="13"/>
    </row>
    <row r="45" spans="1:12" x14ac:dyDescent="0.3">
      <c r="A45" t="s">
        <v>307</v>
      </c>
      <c r="B45" s="127">
        <f>-B44/B16</f>
        <v>1.6432506225380859E-3</v>
      </c>
      <c r="C45" s="127">
        <f>-C44/C16</f>
        <v>4.424695412975352E-3</v>
      </c>
      <c r="D45" s="127">
        <f>-D44/D16</f>
        <v>2.0239819868247645E-3</v>
      </c>
      <c r="E45" s="127">
        <f>-E44/E16</f>
        <v>5.0213202920414155E-3</v>
      </c>
      <c r="F45" s="127">
        <f>-F44/F16</f>
        <v>1.9419430085897457E-3</v>
      </c>
      <c r="G45" s="390">
        <f>+AVERAGE(B45:F45)</f>
        <v>3.0110382645938726E-3</v>
      </c>
      <c r="H45" s="390">
        <f t="shared" ref="H45:K45" si="15">+AVERAGE(C45:G45)</f>
        <v>3.2845957930050297E-3</v>
      </c>
      <c r="I45" s="390">
        <f t="shared" si="15"/>
        <v>3.0565758690109654E-3</v>
      </c>
      <c r="J45" s="390">
        <f t="shared" si="15"/>
        <v>3.2630946454482055E-3</v>
      </c>
      <c r="K45" s="390">
        <f t="shared" si="15"/>
        <v>2.911449516129564E-3</v>
      </c>
      <c r="L45" s="13"/>
    </row>
    <row r="46" spans="1:12" x14ac:dyDescent="0.3">
      <c r="A46" t="s">
        <v>298</v>
      </c>
      <c r="B46" s="74">
        <v>1794</v>
      </c>
      <c r="C46" s="72">
        <v>-361</v>
      </c>
      <c r="D46" s="72">
        <v>11502</v>
      </c>
      <c r="E46" s="72">
        <v>159966</v>
      </c>
      <c r="F46" s="74">
        <v>172058</v>
      </c>
      <c r="G46" s="175">
        <f>+G16*G47</f>
        <v>98589.568380403871</v>
      </c>
      <c r="H46" s="175">
        <f>+H16*H47</f>
        <v>132682.46070148118</v>
      </c>
      <c r="I46" s="175">
        <f>+I16*I47</f>
        <v>182473.22083776351</v>
      </c>
      <c r="J46" s="175">
        <f>+J16*J47</f>
        <v>248788.16903027205</v>
      </c>
      <c r="K46" s="175">
        <f>+K16*K47</f>
        <v>246863.42647613699</v>
      </c>
      <c r="L46" s="13"/>
    </row>
    <row r="47" spans="1:12" x14ac:dyDescent="0.3">
      <c r="A47" t="s">
        <v>308</v>
      </c>
      <c r="B47" s="127">
        <f>+B46/B16</f>
        <v>7.2786322078744904E-5</v>
      </c>
      <c r="C47" s="127">
        <f>+C46/C16</f>
        <v>-1.1371299319309613E-5</v>
      </c>
      <c r="D47" s="127">
        <f>+D46/D16</f>
        <v>3.4564438787947559E-4</v>
      </c>
      <c r="E47" s="127">
        <f>+E46/E16</f>
        <v>5.0334976521766465E-3</v>
      </c>
      <c r="F47" s="127">
        <f>+F46/F16</f>
        <v>3.4697532651269975E-3</v>
      </c>
      <c r="G47" s="282">
        <f>+AVERAGE(B47:F47)</f>
        <v>1.7820620655885108E-3</v>
      </c>
      <c r="H47" s="282">
        <f t="shared" ref="H47:K47" si="16">+AVERAGE(C47:G47)</f>
        <v>2.1239172142904642E-3</v>
      </c>
      <c r="I47" s="282">
        <f t="shared" si="16"/>
        <v>2.5509749170124192E-3</v>
      </c>
      <c r="J47" s="282">
        <f t="shared" si="16"/>
        <v>2.9920410228390071E-3</v>
      </c>
      <c r="K47" s="282">
        <f t="shared" si="16"/>
        <v>2.5837496969714799E-3</v>
      </c>
      <c r="L47" s="13"/>
    </row>
    <row r="48" spans="1:12" x14ac:dyDescent="0.3">
      <c r="A48" t="s">
        <v>299</v>
      </c>
      <c r="B48" s="72" t="s">
        <v>82</v>
      </c>
      <c r="C48" s="72" t="s">
        <v>82</v>
      </c>
      <c r="D48" s="72">
        <v>-40438</v>
      </c>
      <c r="E48" s="72">
        <v>-107922</v>
      </c>
      <c r="F48" s="74">
        <v>-151896</v>
      </c>
      <c r="G48" s="175">
        <f>+G16*G49</f>
        <v>-141521.37243915448</v>
      </c>
      <c r="H48" s="175">
        <f>+H16*H49</f>
        <v>-159804.80158731373</v>
      </c>
      <c r="I48" s="175">
        <f>+I16*I49</f>
        <v>-182981.35588344248</v>
      </c>
      <c r="J48" s="175">
        <f>+J16*J49</f>
        <v>-235036.36187102555</v>
      </c>
      <c r="K48" s="175">
        <f>+K16*K49</f>
        <v>-259194.52375697985</v>
      </c>
      <c r="L48" s="13"/>
    </row>
    <row r="49" spans="1:12" x14ac:dyDescent="0.3">
      <c r="A49" t="s">
        <v>309</v>
      </c>
      <c r="B49" s="190" t="s">
        <v>82</v>
      </c>
      <c r="C49" s="190" t="s">
        <v>82</v>
      </c>
      <c r="D49" s="40">
        <f>+D48/D16</f>
        <v>-1.2151945537358924E-3</v>
      </c>
      <c r="E49" s="40">
        <f>+E48/E16</f>
        <v>-3.3958787093395348E-3</v>
      </c>
      <c r="F49" s="40">
        <f>+F48/F16</f>
        <v>-3.0631626658436713E-3</v>
      </c>
      <c r="G49" s="282">
        <f>AVERAGE(B49:F49)</f>
        <v>-2.558078642973033E-3</v>
      </c>
      <c r="H49" s="282">
        <f>AVERAGE(C49:G49)</f>
        <v>-2.558078642973033E-3</v>
      </c>
      <c r="I49" s="282">
        <f>AVERAGE(D49:H49)</f>
        <v>-2.558078642973033E-3</v>
      </c>
      <c r="J49" s="282">
        <f>AVERAGE(E49:I49)</f>
        <v>-2.8266554608204607E-3</v>
      </c>
      <c r="K49" s="282">
        <f>AVERAGE(F49:J49)</f>
        <v>-2.712810811116646E-3</v>
      </c>
      <c r="L49" s="13"/>
    </row>
    <row r="50" spans="1:12" x14ac:dyDescent="0.3">
      <c r="A50" t="s">
        <v>300</v>
      </c>
      <c r="B50" s="74">
        <v>-1079</v>
      </c>
      <c r="C50" s="72">
        <v>-30630</v>
      </c>
      <c r="D50" s="72">
        <v>7835</v>
      </c>
      <c r="E50" s="72">
        <v>44157</v>
      </c>
      <c r="F50" s="74">
        <v>21242</v>
      </c>
      <c r="G50" s="175">
        <f>+G16*G51</f>
        <v>11558.799770938454</v>
      </c>
      <c r="H50" s="175">
        <f>+H16*H51</f>
        <v>16209.483996541332</v>
      </c>
      <c r="I50" s="175">
        <f>+I16*I51</f>
        <v>36075.401465769479</v>
      </c>
      <c r="J50" s="175">
        <f>+J16*J51</f>
        <v>46406.934377926736</v>
      </c>
      <c r="K50" s="175">
        <f>+K16*K51</f>
        <v>37438.605584775469</v>
      </c>
      <c r="L50" s="13"/>
    </row>
    <row r="51" spans="1:12" x14ac:dyDescent="0.3">
      <c r="A51" t="s">
        <v>310</v>
      </c>
      <c r="B51" s="151">
        <f>+B50/B16</f>
        <v>-4.3777280670549469E-5</v>
      </c>
      <c r="C51" s="151">
        <f>+C50/C16</f>
        <v>-9.6482797271593755E-4</v>
      </c>
      <c r="D51" s="151">
        <f>+D50/D16</f>
        <v>2.3544807677236058E-4</v>
      </c>
      <c r="E51" s="151">
        <f>+E50/E16</f>
        <v>1.3894462312439154E-3</v>
      </c>
      <c r="F51" s="151">
        <f>+F50/F16</f>
        <v>4.2837007786808911E-4</v>
      </c>
      <c r="G51" s="391">
        <f>+AVERAGE(B51:F51)</f>
        <v>2.089318264995756E-4</v>
      </c>
      <c r="H51" s="391">
        <f t="shared" ref="H51:K51" si="17">+AVERAGE(C51:G51)</f>
        <v>2.5947364793360063E-4</v>
      </c>
      <c r="I51" s="391">
        <f t="shared" si="17"/>
        <v>5.0433397206350828E-4</v>
      </c>
      <c r="J51" s="391">
        <f t="shared" si="17"/>
        <v>5.5811115112173776E-4</v>
      </c>
      <c r="K51" s="391">
        <f t="shared" si="17"/>
        <v>3.9184413509730229E-4</v>
      </c>
      <c r="L51" s="13"/>
    </row>
    <row r="52" spans="1:12" x14ac:dyDescent="0.3">
      <c r="A52" s="153" t="s">
        <v>301</v>
      </c>
      <c r="B52" s="156">
        <v>34085</v>
      </c>
      <c r="C52" s="157" t="s">
        <v>82</v>
      </c>
      <c r="D52" s="157">
        <v>-45090</v>
      </c>
      <c r="E52" s="157" t="s">
        <v>82</v>
      </c>
      <c r="F52" s="154" t="s">
        <v>82</v>
      </c>
      <c r="G52" s="158">
        <v>0</v>
      </c>
      <c r="H52" s="158">
        <v>0</v>
      </c>
      <c r="I52" s="158">
        <v>0</v>
      </c>
      <c r="J52" s="158">
        <v>0</v>
      </c>
      <c r="K52" s="158">
        <v>0</v>
      </c>
      <c r="L52" s="13"/>
    </row>
    <row r="53" spans="1:12" x14ac:dyDescent="0.3">
      <c r="A53" s="153" t="s">
        <v>302</v>
      </c>
      <c r="B53" s="157" t="s">
        <v>82</v>
      </c>
      <c r="C53" s="157">
        <v>144637</v>
      </c>
      <c r="D53" s="157" t="s">
        <v>82</v>
      </c>
      <c r="E53" s="157" t="s">
        <v>82</v>
      </c>
      <c r="F53" s="157" t="s">
        <v>82</v>
      </c>
      <c r="G53" s="158">
        <v>0</v>
      </c>
      <c r="H53" s="158">
        <v>0</v>
      </c>
      <c r="I53" s="158">
        <v>0</v>
      </c>
      <c r="J53" s="158">
        <v>0</v>
      </c>
      <c r="K53" s="158">
        <v>0</v>
      </c>
      <c r="L53" s="13"/>
    </row>
    <row r="54" spans="1:12" x14ac:dyDescent="0.3">
      <c r="A54" s="153" t="s">
        <v>303</v>
      </c>
      <c r="B54" s="156">
        <v>-13754</v>
      </c>
      <c r="C54" s="157" t="s">
        <v>101</v>
      </c>
      <c r="D54" s="157" t="s">
        <v>82</v>
      </c>
      <c r="E54" s="157" t="s">
        <v>82</v>
      </c>
      <c r="F54" s="157" t="s">
        <v>82</v>
      </c>
      <c r="G54" s="158">
        <v>0</v>
      </c>
      <c r="H54" s="158">
        <v>0</v>
      </c>
      <c r="I54" s="158">
        <v>0</v>
      </c>
      <c r="J54" s="158">
        <v>0</v>
      </c>
      <c r="K54" s="158">
        <v>0</v>
      </c>
      <c r="L54" s="13"/>
    </row>
    <row r="55" spans="1:12" x14ac:dyDescent="0.3">
      <c r="B55" s="74"/>
      <c r="C55" s="72"/>
      <c r="D55" s="72"/>
      <c r="L55" s="13"/>
    </row>
    <row r="56" spans="1:12" x14ac:dyDescent="0.3">
      <c r="A56" s="76" t="s">
        <v>304</v>
      </c>
      <c r="B56" s="152">
        <v>3720</v>
      </c>
      <c r="C56" s="111">
        <v>28649</v>
      </c>
      <c r="D56" s="111">
        <v>52128</v>
      </c>
      <c r="E56" s="111">
        <v>45921</v>
      </c>
      <c r="F56" s="152">
        <v>-47272</v>
      </c>
      <c r="G56" s="361">
        <f>+G16*G57</f>
        <v>34427.702490094991</v>
      </c>
      <c r="H56" s="361">
        <f>+H16*H57</f>
        <v>44764.867831940726</v>
      </c>
      <c r="I56" s="361">
        <f>+I16*I57</f>
        <v>48598.292106837704</v>
      </c>
      <c r="J56" s="361">
        <f>+J16*J57</f>
        <v>41740.213886956102</v>
      </c>
      <c r="K56" s="361">
        <f>+K16*K57</f>
        <v>29943.11206143161</v>
      </c>
      <c r="L56" s="13"/>
    </row>
    <row r="57" spans="1:12" x14ac:dyDescent="0.3">
      <c r="A57" s="76" t="s">
        <v>311</v>
      </c>
      <c r="B57" s="344">
        <f>+B56/B16</f>
        <v>1.5092815949438741E-4</v>
      </c>
      <c r="C57" s="344">
        <f>+C56/C16</f>
        <v>9.0242757395817474E-4</v>
      </c>
      <c r="D57" s="344">
        <f>+D56/D16</f>
        <v>1.5664884934256046E-3</v>
      </c>
      <c r="E57" s="344">
        <f>+E56/E16</f>
        <v>1.4449523379068288E-3</v>
      </c>
      <c r="F57" s="344">
        <f>+F56/F16</f>
        <v>-9.5329584412862762E-4</v>
      </c>
      <c r="G57" s="390">
        <f>+AVERAGE(B57:F57)</f>
        <v>6.2230014413127365E-4</v>
      </c>
      <c r="H57" s="390">
        <f t="shared" ref="H57:K57" si="18">+AVERAGE(C57:G57)</f>
        <v>7.1657454105865089E-4</v>
      </c>
      <c r="I57" s="390">
        <f t="shared" si="18"/>
        <v>6.7940393447874598E-4</v>
      </c>
      <c r="J57" s="390">
        <f t="shared" si="18"/>
        <v>5.0198702268937432E-4</v>
      </c>
      <c r="K57" s="390">
        <f t="shared" si="18"/>
        <v>3.133939596458834E-4</v>
      </c>
      <c r="L57" s="13"/>
    </row>
    <row r="58" spans="1:12" x14ac:dyDescent="0.3">
      <c r="A58" t="s">
        <v>305</v>
      </c>
      <c r="B58" s="74">
        <v>1337</v>
      </c>
      <c r="C58" s="72" t="s">
        <v>82</v>
      </c>
      <c r="D58" s="72">
        <v>12529</v>
      </c>
      <c r="E58" s="72" t="s">
        <v>82</v>
      </c>
      <c r="F58" s="86" t="s">
        <v>82</v>
      </c>
      <c r="G58" s="164" t="s">
        <v>82</v>
      </c>
      <c r="H58" s="164" t="s">
        <v>82</v>
      </c>
      <c r="I58" s="164" t="s">
        <v>82</v>
      </c>
      <c r="J58" s="164" t="s">
        <v>82</v>
      </c>
      <c r="K58" s="164" t="s">
        <v>82</v>
      </c>
      <c r="L58" s="13"/>
    </row>
    <row r="59" spans="1:12" x14ac:dyDescent="0.3">
      <c r="A59" t="s">
        <v>306</v>
      </c>
      <c r="B59" s="74">
        <v>221602</v>
      </c>
      <c r="C59" s="3">
        <v>398345</v>
      </c>
      <c r="D59" s="3">
        <v>428180</v>
      </c>
      <c r="E59" s="72">
        <v>459735</v>
      </c>
      <c r="F59" s="74">
        <v>332470</v>
      </c>
      <c r="G59" s="361">
        <f>+G43+G44+G46+G48+G50+G56</f>
        <v>465872.50358319061</v>
      </c>
      <c r="H59" s="361">
        <f>+H43+H44+H46+H48+H50+H56</f>
        <v>575764.80720691057</v>
      </c>
      <c r="I59" s="361">
        <f>+I43+I44+I46+I48+I50+I56</f>
        <v>718666.19399166689</v>
      </c>
      <c r="J59" s="361">
        <f>+J43+J44+J46+J48+J50+J56</f>
        <v>789183.07561158435</v>
      </c>
      <c r="K59" s="361">
        <f>+K43+K44+K46+K48+K50+K56</f>
        <v>836798.10924328503</v>
      </c>
      <c r="L59" s="13"/>
    </row>
    <row r="60" spans="1:12" x14ac:dyDescent="0.3">
      <c r="B60" s="2">
        <f>+B43+B44+B46+B50+B52+B54+B56+B58</f>
        <v>221602</v>
      </c>
      <c r="C60" s="2">
        <f>+C43+C44+C46+C50+C56+C53</f>
        <v>398345</v>
      </c>
      <c r="D60" s="2">
        <f>+D43+D44+D46+D48+D50+D52+D56+D58</f>
        <v>428180</v>
      </c>
      <c r="E60" s="2">
        <f>+E43+E44+E46+E48+E50+E56</f>
        <v>459735</v>
      </c>
      <c r="F60" s="2">
        <f>+F44++F46+F43+F48+F50+F56</f>
        <v>332470</v>
      </c>
      <c r="L60" s="13"/>
    </row>
    <row r="61" spans="1:12" x14ac:dyDescent="0.3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</row>
    <row r="62" spans="1:12" ht="18" x14ac:dyDescent="0.35">
      <c r="A62" s="467" t="s">
        <v>342</v>
      </c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</row>
    <row r="63" spans="1:12" x14ac:dyDescent="0.3">
      <c r="A63" s="1" t="s">
        <v>312</v>
      </c>
      <c r="B63" s="1">
        <v>2018</v>
      </c>
      <c r="C63" s="1">
        <v>2019</v>
      </c>
      <c r="D63" s="1">
        <v>2020</v>
      </c>
      <c r="E63" s="1">
        <v>2021</v>
      </c>
      <c r="F63" s="1">
        <v>2022</v>
      </c>
      <c r="G63" s="119">
        <v>2023</v>
      </c>
      <c r="H63" s="119">
        <v>2024</v>
      </c>
      <c r="I63" s="119">
        <v>2025</v>
      </c>
      <c r="J63" s="119">
        <v>2026</v>
      </c>
      <c r="K63" s="119">
        <v>2027</v>
      </c>
      <c r="L63" s="13"/>
    </row>
    <row r="64" spans="1:12" x14ac:dyDescent="0.3">
      <c r="A64" t="s">
        <v>313</v>
      </c>
      <c r="B64" s="72">
        <v>41164</v>
      </c>
      <c r="C64" s="23">
        <v>0</v>
      </c>
      <c r="D64" s="23">
        <v>123760</v>
      </c>
      <c r="E64" s="72">
        <v>89944</v>
      </c>
      <c r="F64" s="133">
        <v>285093</v>
      </c>
      <c r="G64" s="175">
        <f>+G16*G66</f>
        <v>63716.999999999993</v>
      </c>
      <c r="H64" s="175">
        <f>+H16*H66</f>
        <v>68227.600000000006</v>
      </c>
      <c r="I64" s="175">
        <f>+I16*I66</f>
        <v>81873.119999999995</v>
      </c>
      <c r="J64" s="175">
        <f>+J16*J66</f>
        <v>73495.743999999992</v>
      </c>
      <c r="K64" s="175">
        <f>+K16*K66</f>
        <v>70206.092799999999</v>
      </c>
      <c r="L64" s="13"/>
    </row>
    <row r="65" spans="1:12" x14ac:dyDescent="0.3">
      <c r="A65" t="s">
        <v>326</v>
      </c>
      <c r="B65" s="72">
        <v>41164</v>
      </c>
      <c r="C65" s="23">
        <v>0</v>
      </c>
      <c r="D65" s="23">
        <v>123760</v>
      </c>
      <c r="E65" s="72">
        <v>89944</v>
      </c>
      <c r="F65" s="72">
        <f>+AVERAGE(B65:E65)</f>
        <v>63717</v>
      </c>
      <c r="G65" s="175">
        <f>+AVERAGE(B65:F65)</f>
        <v>63717</v>
      </c>
      <c r="H65" s="175">
        <f t="shared" ref="H65:K65" si="19">+AVERAGE(C65:G65)</f>
        <v>68227.600000000006</v>
      </c>
      <c r="I65" s="175">
        <f t="shared" si="19"/>
        <v>81873.119999999995</v>
      </c>
      <c r="J65" s="175">
        <f t="shared" si="19"/>
        <v>73495.743999999992</v>
      </c>
      <c r="K65" s="175">
        <f t="shared" si="19"/>
        <v>70206.092799999999</v>
      </c>
      <c r="L65" s="13"/>
    </row>
    <row r="66" spans="1:12" x14ac:dyDescent="0.3">
      <c r="A66" t="s">
        <v>325</v>
      </c>
      <c r="B66" s="144">
        <f t="shared" ref="B66:K66" si="20">+B65/B16</f>
        <v>1.670109343394345E-3</v>
      </c>
      <c r="C66" s="144">
        <f t="shared" si="20"/>
        <v>0</v>
      </c>
      <c r="D66" s="144">
        <f t="shared" si="20"/>
        <v>3.7190879363557553E-3</v>
      </c>
      <c r="E66" s="144">
        <f t="shared" si="20"/>
        <v>2.8301821188713621E-3</v>
      </c>
      <c r="F66" s="144">
        <f t="shared" si="20"/>
        <v>1.2849287379493944E-3</v>
      </c>
      <c r="G66" s="345">
        <f t="shared" si="20"/>
        <v>1.1517207195287042E-3</v>
      </c>
      <c r="H66" s="345">
        <f t="shared" si="20"/>
        <v>1.0921547080420283E-3</v>
      </c>
      <c r="I66" s="345">
        <f t="shared" si="20"/>
        <v>1.1445858988987838E-3</v>
      </c>
      <c r="J66" s="345">
        <f t="shared" si="20"/>
        <v>8.8389364297028331E-4</v>
      </c>
      <c r="K66" s="345">
        <f t="shared" si="20"/>
        <v>7.3479888692659829E-4</v>
      </c>
      <c r="L66" s="13"/>
    </row>
    <row r="67" spans="1:12" x14ac:dyDescent="0.3">
      <c r="A67" t="s">
        <v>314</v>
      </c>
      <c r="B67" s="72">
        <v>65133</v>
      </c>
      <c r="C67" s="23">
        <v>101899</v>
      </c>
      <c r="D67" s="23">
        <v>120065</v>
      </c>
      <c r="E67" s="72">
        <v>186842</v>
      </c>
      <c r="F67" s="72">
        <v>154745</v>
      </c>
      <c r="G67" s="175">
        <f>+'SOFP working'!G122</f>
        <v>136447.47906151362</v>
      </c>
      <c r="H67" s="175">
        <f>+'SOFP working'!H122</f>
        <v>153832.35067326773</v>
      </c>
      <c r="I67" s="175">
        <f>+'SOFP working'!I122</f>
        <v>154410.5875429752</v>
      </c>
      <c r="J67" s="175">
        <f>+'SOFP working'!J122</f>
        <v>160138.44511104253</v>
      </c>
      <c r="K67" s="175">
        <f>+'SOFP working'!K122</f>
        <v>154861.2261803259</v>
      </c>
      <c r="L67" s="13"/>
    </row>
    <row r="68" spans="1:12" ht="15" thickBot="1" x14ac:dyDescent="0.35">
      <c r="A68" s="145" t="s">
        <v>315</v>
      </c>
      <c r="B68" s="146">
        <v>106297</v>
      </c>
      <c r="C68" s="147">
        <v>101899</v>
      </c>
      <c r="D68" s="147">
        <v>243825</v>
      </c>
      <c r="E68" s="146">
        <v>276786</v>
      </c>
      <c r="F68" s="146">
        <v>439838</v>
      </c>
      <c r="G68" s="396">
        <f>+G64+G67</f>
        <v>200164.47906151362</v>
      </c>
      <c r="H68" s="396">
        <f>+H64+H67</f>
        <v>222059.95067326774</v>
      </c>
      <c r="I68" s="396">
        <f>+I64+I67</f>
        <v>236283.7075429752</v>
      </c>
      <c r="J68" s="396">
        <f>+J64+J67</f>
        <v>233634.18911104253</v>
      </c>
      <c r="K68" s="396">
        <f>+K64+K67</f>
        <v>225067.31898032589</v>
      </c>
      <c r="L68" s="13"/>
    </row>
    <row r="69" spans="1:12" x14ac:dyDescent="0.3">
      <c r="A69" s="1" t="s">
        <v>316</v>
      </c>
      <c r="B69" s="86"/>
      <c r="C69" s="23">
        <v>0</v>
      </c>
      <c r="D69" s="23"/>
      <c r="E69" s="72"/>
      <c r="F69" s="72"/>
      <c r="L69" s="13"/>
    </row>
    <row r="70" spans="1:12" x14ac:dyDescent="0.3">
      <c r="A70" s="153" t="s">
        <v>317</v>
      </c>
      <c r="B70" s="154" t="s">
        <v>82</v>
      </c>
      <c r="C70" s="155">
        <v>-29506</v>
      </c>
      <c r="D70" s="154" t="s">
        <v>82</v>
      </c>
      <c r="E70" s="154" t="s">
        <v>82</v>
      </c>
      <c r="F70" s="154" t="s">
        <v>82</v>
      </c>
      <c r="G70" s="154" t="s">
        <v>82</v>
      </c>
      <c r="H70" s="154" t="s">
        <v>82</v>
      </c>
      <c r="I70" s="154" t="s">
        <v>82</v>
      </c>
      <c r="J70" s="154" t="s">
        <v>82</v>
      </c>
      <c r="K70" s="154" t="s">
        <v>82</v>
      </c>
      <c r="L70" s="13"/>
    </row>
    <row r="71" spans="1:12" x14ac:dyDescent="0.3">
      <c r="A71" s="96" t="s">
        <v>318</v>
      </c>
      <c r="B71" s="72"/>
      <c r="C71" s="72"/>
      <c r="D71" s="72"/>
      <c r="E71" s="72"/>
      <c r="F71" s="72"/>
      <c r="L71" s="13"/>
    </row>
    <row r="72" spans="1:12" x14ac:dyDescent="0.3">
      <c r="A72" s="129" t="s">
        <v>319</v>
      </c>
      <c r="B72" s="23">
        <v>-897</v>
      </c>
      <c r="C72" s="23">
        <v>-446</v>
      </c>
      <c r="D72" s="23">
        <v>-37</v>
      </c>
      <c r="E72" s="72">
        <v>-1</v>
      </c>
      <c r="F72" s="72">
        <v>-4466</v>
      </c>
      <c r="G72" s="361">
        <f>'SOFP working'!G62</f>
        <v>-1644.4250000000002</v>
      </c>
      <c r="H72" s="361">
        <f>'SOFP working'!H62</f>
        <v>-1957.6625000000001</v>
      </c>
      <c r="I72" s="361">
        <f>'SOFP working'!I62</f>
        <v>-2288.21</v>
      </c>
      <c r="J72" s="361">
        <f>'SOFP working'!J62</f>
        <v>-2344.9095000000002</v>
      </c>
      <c r="K72" s="361">
        <f>'SOFP working'!K62</f>
        <v>-2192.0714000000003</v>
      </c>
      <c r="L72" s="13"/>
    </row>
    <row r="73" spans="1:12" x14ac:dyDescent="0.3">
      <c r="A73" s="129" t="s">
        <v>320</v>
      </c>
      <c r="B73" s="23">
        <v>-21576</v>
      </c>
      <c r="C73" s="23">
        <v>-60334</v>
      </c>
      <c r="D73" s="23">
        <v>-28729</v>
      </c>
      <c r="E73" s="72">
        <v>-15300</v>
      </c>
      <c r="F73" s="72">
        <v>-79001</v>
      </c>
      <c r="G73" s="361">
        <f>'SOFP working'!G63</f>
        <v>-106291.13038460148</v>
      </c>
      <c r="H73" s="361">
        <f>'SOFP working'!H63</f>
        <v>-91420.392412151588</v>
      </c>
      <c r="I73" s="361">
        <f>'SOFP working'!I63</f>
        <v>-73795.521558063614</v>
      </c>
      <c r="J73" s="361">
        <f>'SOFP working'!J63</f>
        <v>-54313.519630889714</v>
      </c>
      <c r="K73" s="361">
        <f>'SOFP working'!K63</f>
        <v>-32324.778244881913</v>
      </c>
      <c r="L73" s="13"/>
    </row>
    <row r="74" spans="1:12" x14ac:dyDescent="0.3">
      <c r="A74" s="129" t="s">
        <v>355</v>
      </c>
      <c r="B74" s="72" t="s">
        <v>82</v>
      </c>
      <c r="C74" s="72" t="s">
        <v>82</v>
      </c>
      <c r="D74" s="72" t="s">
        <v>82</v>
      </c>
      <c r="E74" s="72" t="s">
        <v>82</v>
      </c>
      <c r="F74" s="72" t="s">
        <v>82</v>
      </c>
      <c r="G74" s="397">
        <f>'SOFP working'!G66</f>
        <v>-6249.6050000000005</v>
      </c>
      <c r="H74" s="397">
        <f>'SOFP working'!H66</f>
        <v>-6249.6050000000005</v>
      </c>
      <c r="I74" s="397">
        <f>'SOFP working'!I66</f>
        <v>-6249.6050000000005</v>
      </c>
      <c r="J74" s="397">
        <f>'SOFP working'!J66</f>
        <v>-6249.6050000000005</v>
      </c>
      <c r="K74" s="397">
        <f>'SOFP working'!K66</f>
        <v>-6249.6050000000005</v>
      </c>
      <c r="L74" s="13"/>
    </row>
    <row r="75" spans="1:12" x14ac:dyDescent="0.3">
      <c r="A75" s="129" t="s">
        <v>321</v>
      </c>
      <c r="B75" s="23">
        <v>-27643</v>
      </c>
      <c r="C75" s="23">
        <v>-30300</v>
      </c>
      <c r="D75" s="23">
        <v>-32440</v>
      </c>
      <c r="E75" s="72">
        <v>-31002</v>
      </c>
      <c r="F75" s="72" t="s">
        <v>82</v>
      </c>
      <c r="G75" s="358" t="s">
        <v>82</v>
      </c>
      <c r="H75" s="358" t="s">
        <v>82</v>
      </c>
      <c r="I75" s="358" t="s">
        <v>82</v>
      </c>
      <c r="J75" s="358" t="s">
        <v>82</v>
      </c>
      <c r="K75" s="358" t="s">
        <v>82</v>
      </c>
      <c r="L75" s="13"/>
    </row>
    <row r="76" spans="1:12" x14ac:dyDescent="0.3">
      <c r="A76" s="129" t="s">
        <v>322</v>
      </c>
      <c r="B76" s="86" t="s">
        <v>82</v>
      </c>
      <c r="C76" s="23" t="s">
        <v>82</v>
      </c>
      <c r="D76" s="23">
        <v>-47427</v>
      </c>
      <c r="E76" s="72">
        <v>-47889</v>
      </c>
      <c r="F76" s="72">
        <v>-52717</v>
      </c>
      <c r="G76" s="361">
        <f>-PPE!G353</f>
        <v>-74794.651844859094</v>
      </c>
      <c r="H76" s="361">
        <f>-PPE!H353</f>
        <v>-77386.079125965713</v>
      </c>
      <c r="I76" s="361">
        <f>-PPE!I353</f>
        <v>-80707.554866475533</v>
      </c>
      <c r="J76" s="361">
        <f>-PPE!J353</f>
        <v>-82674.830746424763</v>
      </c>
      <c r="K76" s="361">
        <f>-PPE!K353</f>
        <v>-85481.870602610332</v>
      </c>
      <c r="L76" s="13"/>
    </row>
    <row r="77" spans="1:12" x14ac:dyDescent="0.3">
      <c r="A77" s="129" t="s">
        <v>323</v>
      </c>
      <c r="B77" s="23">
        <v>-49307</v>
      </c>
      <c r="C77" s="23">
        <v>-68900</v>
      </c>
      <c r="D77" s="23">
        <v>-51659</v>
      </c>
      <c r="E77" s="72">
        <v>-24659</v>
      </c>
      <c r="F77" s="72">
        <v>-13037</v>
      </c>
      <c r="G77" s="361">
        <f>'SOFP working'!G64</f>
        <v>-127152.37211539852</v>
      </c>
      <c r="H77" s="361">
        <f>'SOFP working'!H64</f>
        <v>-110806.50958784843</v>
      </c>
      <c r="I77" s="361">
        <f>'SOFP working'!I64</f>
        <v>-91325.171091936412</v>
      </c>
      <c r="J77" s="361">
        <f>'SOFP working'!J64</f>
        <v>-68970.969049110296</v>
      </c>
      <c r="K77" s="361">
        <f>'SOFP working'!K64</f>
        <v>-43164.365671118103</v>
      </c>
      <c r="L77" s="13"/>
    </row>
    <row r="78" spans="1:12" x14ac:dyDescent="0.3">
      <c r="A78" s="1" t="s">
        <v>324</v>
      </c>
      <c r="B78" s="342">
        <v>-99423</v>
      </c>
      <c r="C78" s="342">
        <v>-189486</v>
      </c>
      <c r="D78" s="318">
        <f>+D77+D76+D75+D73+D72</f>
        <v>-160292</v>
      </c>
      <c r="E78" s="343">
        <v>-118851</v>
      </c>
      <c r="F78" s="343">
        <v>-149221</v>
      </c>
      <c r="G78" s="166">
        <f>+G77+G76+G73+G72+G74</f>
        <v>-316132.18434485904</v>
      </c>
      <c r="H78" s="166">
        <f t="shared" ref="H78:K78" si="21">+H77+H76+H73+H72+H74</f>
        <v>-287820.24862596567</v>
      </c>
      <c r="I78" s="166">
        <f t="shared" si="21"/>
        <v>-254366.06251647556</v>
      </c>
      <c r="J78" s="166">
        <f t="shared" si="21"/>
        <v>-214553.83392642476</v>
      </c>
      <c r="K78" s="166">
        <f t="shared" si="21"/>
        <v>-169412.69091861034</v>
      </c>
      <c r="L78" s="13"/>
    </row>
    <row r="79" spans="1:12" ht="15" thickBot="1" x14ac:dyDescent="0.35">
      <c r="A79" s="140" t="s">
        <v>72</v>
      </c>
      <c r="B79" s="141">
        <v>6874</v>
      </c>
      <c r="C79" s="141">
        <v>-87587</v>
      </c>
      <c r="D79" s="141">
        <v>83533</v>
      </c>
      <c r="E79" s="142">
        <v>157935</v>
      </c>
      <c r="F79" s="142">
        <v>290617</v>
      </c>
      <c r="G79" s="363">
        <f>+G68+G78</f>
        <v>-115967.70528334542</v>
      </c>
      <c r="H79" s="363">
        <f>+H68+H78</f>
        <v>-65760.297952697932</v>
      </c>
      <c r="I79" s="363">
        <f>+I68+I78</f>
        <v>-18082.354973500362</v>
      </c>
      <c r="J79" s="363">
        <f>+J68+J78</f>
        <v>19080.355184617772</v>
      </c>
      <c r="K79" s="363">
        <f>+K68+K78</f>
        <v>55654.628061715543</v>
      </c>
      <c r="L79" s="13"/>
    </row>
    <row r="80" spans="1:12" x14ac:dyDescent="0.3">
      <c r="A80" s="13"/>
      <c r="B80" s="65">
        <f>+B78+B68</f>
        <v>6874</v>
      </c>
      <c r="C80" s="65">
        <f>+C78+C68</f>
        <v>-87587</v>
      </c>
      <c r="D80" s="65">
        <f t="shared" ref="D80:K80" si="22">+D78+D68</f>
        <v>83533</v>
      </c>
      <c r="E80" s="65">
        <f t="shared" si="22"/>
        <v>157935</v>
      </c>
      <c r="F80" s="65">
        <f t="shared" si="22"/>
        <v>290617</v>
      </c>
      <c r="G80" s="65">
        <f t="shared" si="22"/>
        <v>-115967.70528334542</v>
      </c>
      <c r="H80" s="65">
        <f t="shared" si="22"/>
        <v>-65760.297952697932</v>
      </c>
      <c r="I80" s="65">
        <f t="shared" si="22"/>
        <v>-18082.354973500362</v>
      </c>
      <c r="J80" s="65">
        <f t="shared" si="22"/>
        <v>19080.355184617772</v>
      </c>
      <c r="K80" s="65">
        <f t="shared" si="22"/>
        <v>55654.628061715543</v>
      </c>
      <c r="L80" s="13"/>
    </row>
    <row r="81" spans="1:12" x14ac:dyDescent="0.3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</row>
    <row r="82" spans="1:12" x14ac:dyDescent="0.3">
      <c r="C82" s="4">
        <f>+C77+C75+C73+C72+C70</f>
        <v>-189486</v>
      </c>
    </row>
    <row r="84" spans="1:12" x14ac:dyDescent="0.3">
      <c r="B84" s="4">
        <f>SUM(B72:B77)</f>
        <v>-99423</v>
      </c>
      <c r="C84" s="4">
        <f t="shared" ref="C84:K84" si="23">SUM(C72:C77)</f>
        <v>-159980</v>
      </c>
      <c r="D84" s="4">
        <f t="shared" si="23"/>
        <v>-160292</v>
      </c>
      <c r="E84" s="4">
        <f t="shared" si="23"/>
        <v>-118851</v>
      </c>
      <c r="F84" s="4">
        <f t="shared" si="23"/>
        <v>-149221</v>
      </c>
      <c r="G84" s="4">
        <f t="shared" si="23"/>
        <v>-316132.1843448591</v>
      </c>
      <c r="H84" s="4">
        <f t="shared" si="23"/>
        <v>-287820.24862596573</v>
      </c>
      <c r="I84" s="4">
        <f t="shared" si="23"/>
        <v>-254366.06251647556</v>
      </c>
      <c r="J84" s="4">
        <f t="shared" si="23"/>
        <v>-214553.83392642479</v>
      </c>
      <c r="K84" s="4">
        <f t="shared" si="23"/>
        <v>-169412.69091861034</v>
      </c>
    </row>
    <row r="96" spans="1:12" x14ac:dyDescent="0.3">
      <c r="L96" s="40"/>
    </row>
    <row r="97" spans="12:12" x14ac:dyDescent="0.3">
      <c r="L97" s="40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2"/>
  <sheetViews>
    <sheetView topLeftCell="A4" zoomScale="85" zoomScaleNormal="85" workbookViewId="0">
      <selection activeCell="A25" sqref="A25"/>
    </sheetView>
  </sheetViews>
  <sheetFormatPr defaultRowHeight="14.4" x14ac:dyDescent="0.3"/>
  <cols>
    <col min="1" max="1" width="73.109375" customWidth="1"/>
    <col min="2" max="5" width="20.109375" bestFit="1" customWidth="1"/>
    <col min="6" max="6" width="19.6640625" bestFit="1" customWidth="1"/>
    <col min="7" max="11" width="20" bestFit="1" customWidth="1"/>
  </cols>
  <sheetData>
    <row r="1" spans="1:12" x14ac:dyDescent="0.3">
      <c r="A1" s="159"/>
      <c r="B1" s="159"/>
      <c r="C1" s="159"/>
      <c r="D1" s="159"/>
      <c r="E1" s="159"/>
      <c r="F1" s="159"/>
      <c r="G1" s="159"/>
      <c r="H1" s="159"/>
      <c r="I1" s="159"/>
      <c r="J1" s="159"/>
      <c r="K1" s="159"/>
      <c r="L1" s="159"/>
    </row>
    <row r="2" spans="1:12" x14ac:dyDescent="0.3">
      <c r="A2" s="1" t="s">
        <v>327</v>
      </c>
      <c r="F2" s="86"/>
      <c r="G2" s="86"/>
      <c r="H2" s="86"/>
      <c r="L2" s="159"/>
    </row>
    <row r="3" spans="1:12" x14ac:dyDescent="0.3">
      <c r="B3" s="1">
        <v>2018</v>
      </c>
      <c r="C3" s="1">
        <v>2019</v>
      </c>
      <c r="D3" s="1">
        <v>2020</v>
      </c>
      <c r="E3" s="150">
        <v>2021</v>
      </c>
      <c r="F3" s="150">
        <v>2022</v>
      </c>
      <c r="G3" s="87">
        <v>2023</v>
      </c>
      <c r="H3" s="87">
        <v>2024</v>
      </c>
      <c r="I3" s="87">
        <v>2025</v>
      </c>
      <c r="J3" s="87">
        <v>202</v>
      </c>
      <c r="K3" s="87">
        <v>2027</v>
      </c>
      <c r="L3" s="159"/>
    </row>
    <row r="4" spans="1:12" s="386" customFormat="1" x14ac:dyDescent="0.3">
      <c r="A4" s="386" t="s">
        <v>328</v>
      </c>
      <c r="B4" s="74">
        <f>-'P&amp;L-SOFP-Ratios'!B6</f>
        <v>21736289</v>
      </c>
      <c r="C4" s="74">
        <f>-'P&amp;L-SOFP-Ratios'!C6</f>
        <v>28060534</v>
      </c>
      <c r="D4" s="74">
        <f>-'P&amp;L-SOFP-Ratios'!D6</f>
        <v>29047934</v>
      </c>
      <c r="E4" s="74">
        <f>-'P&amp;L-SOFP-Ratios'!E6</f>
        <v>27990328</v>
      </c>
      <c r="F4" s="74">
        <f>-'P&amp;L-SOFP-Ratios'!F6</f>
        <v>45010323</v>
      </c>
      <c r="G4" s="175">
        <f>-'P&amp;L-SOFP-Ratios'!G6</f>
        <v>48984618.906126283</v>
      </c>
      <c r="H4" s="175">
        <f>-'P&amp;L-SOFP-Ratios'!H6</f>
        <v>55357244.466294162</v>
      </c>
      <c r="I4" s="175">
        <f>-'P&amp;L-SOFP-Ratios'!I6</f>
        <v>63417787.946985133</v>
      </c>
      <c r="J4" s="175">
        <f>-'P&amp;L-SOFP-Ratios'!J6</f>
        <v>73946424.973286226</v>
      </c>
      <c r="K4" s="175">
        <f>-'P&amp;L-SOFP-Ratios'!K6</f>
        <v>85132898.25292702</v>
      </c>
      <c r="L4" s="159"/>
    </row>
    <row r="5" spans="1:12" x14ac:dyDescent="0.3">
      <c r="G5" s="168"/>
      <c r="H5" s="168"/>
      <c r="I5" s="168"/>
      <c r="J5" s="168"/>
      <c r="K5" s="168"/>
      <c r="L5" s="159"/>
    </row>
    <row r="6" spans="1:12" s="2" customFormat="1" x14ac:dyDescent="0.3">
      <c r="A6" s="2" t="s">
        <v>329</v>
      </c>
      <c r="B6" s="2">
        <v>1641866</v>
      </c>
      <c r="C6" s="2">
        <v>1730837</v>
      </c>
      <c r="D6" s="2">
        <v>2180495</v>
      </c>
      <c r="E6" s="6">
        <v>3294281</v>
      </c>
      <c r="F6" s="6">
        <v>7761547</v>
      </c>
      <c r="G6" s="358">
        <f>+G7*G4</f>
        <v>4922133.0524461893</v>
      </c>
      <c r="H6" s="358">
        <f t="shared" ref="H6:K6" si="0">+H7*H4</f>
        <v>5562475.0945201926</v>
      </c>
      <c r="I6" s="358">
        <f t="shared" si="0"/>
        <v>6636110.7621518653</v>
      </c>
      <c r="J6" s="358">
        <f t="shared" si="0"/>
        <v>8267282.4193537245</v>
      </c>
      <c r="K6" s="358">
        <f t="shared" si="0"/>
        <v>10039175.265161825</v>
      </c>
      <c r="L6" s="159"/>
    </row>
    <row r="7" spans="1:12" s="67" customFormat="1" x14ac:dyDescent="0.3">
      <c r="A7" s="67" t="s">
        <v>330</v>
      </c>
      <c r="B7" s="67">
        <f>B6/B4</f>
        <v>7.5535708970376689E-2</v>
      </c>
      <c r="C7" s="67">
        <f t="shared" ref="C7:F7" si="1">C6/C4</f>
        <v>6.1682254514472179E-2</v>
      </c>
      <c r="D7" s="67">
        <f t="shared" si="1"/>
        <v>7.5065407405566262E-2</v>
      </c>
      <c r="E7" s="67">
        <f t="shared" si="1"/>
        <v>0.11769354757114672</v>
      </c>
      <c r="F7" s="67">
        <f t="shared" si="1"/>
        <v>0.17243926465491038</v>
      </c>
      <c r="G7" s="390">
        <f>AVERAGE(B7:F7)</f>
        <v>0.10048323662329443</v>
      </c>
      <c r="H7" s="390">
        <f t="shared" ref="H7:K7" si="2">AVERAGE(B7:G7)</f>
        <v>0.10048323662329443</v>
      </c>
      <c r="I7" s="390">
        <f t="shared" si="2"/>
        <v>0.10464115789878074</v>
      </c>
      <c r="J7" s="390">
        <f t="shared" si="2"/>
        <v>0.11180097512949883</v>
      </c>
      <c r="K7" s="390">
        <f t="shared" si="2"/>
        <v>0.11792356975015426</v>
      </c>
      <c r="L7" s="159"/>
    </row>
    <row r="8" spans="1:12" s="74" customFormat="1" x14ac:dyDescent="0.3">
      <c r="A8" s="74" t="s">
        <v>331</v>
      </c>
      <c r="B8" s="74">
        <v>986579</v>
      </c>
      <c r="C8" s="74">
        <v>1289290</v>
      </c>
      <c r="D8" s="74">
        <v>1257922</v>
      </c>
      <c r="E8" s="72">
        <v>2028247</v>
      </c>
      <c r="F8" s="72">
        <v>4742686</v>
      </c>
      <c r="G8" s="358">
        <f>+G4*G9</f>
        <v>3061260.6489803428</v>
      </c>
      <c r="H8" s="358">
        <f t="shared" ref="H8:K8" si="3">+H4*H9</f>
        <v>3648899.0962082073</v>
      </c>
      <c r="I8" s="358">
        <f t="shared" si="3"/>
        <v>4433488.2881447291</v>
      </c>
      <c r="J8" s="358">
        <f t="shared" si="3"/>
        <v>5562993.9410701133</v>
      </c>
      <c r="K8" s="358">
        <f t="shared" si="3"/>
        <v>6451676.3635484865</v>
      </c>
      <c r="L8" s="159"/>
    </row>
    <row r="9" spans="1:12" s="127" customFormat="1" x14ac:dyDescent="0.3">
      <c r="A9" s="399" t="s">
        <v>339</v>
      </c>
      <c r="B9" s="127">
        <f t="shared" ref="B9:F9" si="4">B8/B4</f>
        <v>4.5388566557980528E-2</v>
      </c>
      <c r="C9" s="127">
        <f t="shared" si="4"/>
        <v>4.5946737863220989E-2</v>
      </c>
      <c r="D9" s="127">
        <f t="shared" si="4"/>
        <v>4.3305041935168265E-2</v>
      </c>
      <c r="E9" s="127">
        <f t="shared" si="4"/>
        <v>7.246242344855694E-2</v>
      </c>
      <c r="F9" s="127">
        <f t="shared" si="4"/>
        <v>0.10536885060789278</v>
      </c>
      <c r="G9" s="345">
        <f>AVERAGE(B9:F9)</f>
        <v>6.2494324082563904E-2</v>
      </c>
      <c r="H9" s="345">
        <f t="shared" ref="H9:K9" si="5">AVERAGE(C9:G9)</f>
        <v>6.5915475587480579E-2</v>
      </c>
      <c r="I9" s="345">
        <f t="shared" si="5"/>
        <v>6.9909223132332485E-2</v>
      </c>
      <c r="J9" s="345">
        <f t="shared" si="5"/>
        <v>7.5230059371765329E-2</v>
      </c>
      <c r="K9" s="345">
        <f t="shared" si="5"/>
        <v>7.5783586556407018E-2</v>
      </c>
      <c r="L9" s="159"/>
    </row>
    <row r="10" spans="1:12" s="2" customFormat="1" x14ac:dyDescent="0.3">
      <c r="A10" s="2" t="s">
        <v>332</v>
      </c>
      <c r="B10" s="2">
        <v>615730</v>
      </c>
      <c r="C10" s="2">
        <v>519976</v>
      </c>
      <c r="D10" s="2">
        <v>930641</v>
      </c>
      <c r="E10" s="6">
        <v>553223</v>
      </c>
      <c r="F10" s="6">
        <v>743483</v>
      </c>
      <c r="G10" s="358">
        <f>+G4*G11</f>
        <v>1128397.4587379228</v>
      </c>
      <c r="H10" s="358">
        <f t="shared" ref="H10:K10" si="6">+H4*H11</f>
        <v>1216610.7443030167</v>
      </c>
      <c r="I10" s="358">
        <f t="shared" si="6"/>
        <v>1437480.2773366319</v>
      </c>
      <c r="J10" s="358">
        <f t="shared" si="6"/>
        <v>1537536.5473120513</v>
      </c>
      <c r="K10" s="358">
        <f t="shared" si="6"/>
        <v>1787631.7524938718</v>
      </c>
      <c r="L10" s="159"/>
    </row>
    <row r="11" spans="1:12" s="67" customFormat="1" x14ac:dyDescent="0.3">
      <c r="A11" s="67" t="s">
        <v>340</v>
      </c>
      <c r="B11" s="67">
        <f t="shared" ref="B11:F11" si="7">B10/B4</f>
        <v>2.8327282545792431E-2</v>
      </c>
      <c r="C11" s="67">
        <f t="shared" si="7"/>
        <v>1.8530509790013264E-2</v>
      </c>
      <c r="D11" s="67">
        <f t="shared" si="7"/>
        <v>3.2038113278555373E-2</v>
      </c>
      <c r="E11" s="67">
        <f t="shared" si="7"/>
        <v>1.9764791609444519E-2</v>
      </c>
      <c r="F11" s="67">
        <f t="shared" si="7"/>
        <v>1.6518055202580973E-2</v>
      </c>
      <c r="G11" s="345">
        <f>AVERAGE(B11:F11)</f>
        <v>2.3035750485277316E-2</v>
      </c>
      <c r="H11" s="345">
        <f t="shared" ref="H11:K11" si="8">AVERAGE(C11:G11)</f>
        <v>2.1977444073174288E-2</v>
      </c>
      <c r="I11" s="345">
        <f t="shared" si="8"/>
        <v>2.2666830929806491E-2</v>
      </c>
      <c r="J11" s="345">
        <f t="shared" si="8"/>
        <v>2.0792574460056716E-2</v>
      </c>
      <c r="K11" s="345">
        <f t="shared" si="8"/>
        <v>2.0998131030179158E-2</v>
      </c>
      <c r="L11" s="159"/>
    </row>
    <row r="12" spans="1:12" s="2" customFormat="1" x14ac:dyDescent="0.3">
      <c r="A12" s="2" t="s">
        <v>333</v>
      </c>
      <c r="B12" s="2">
        <v>261343</v>
      </c>
      <c r="C12" s="2">
        <v>257726</v>
      </c>
      <c r="D12" s="2">
        <v>323821</v>
      </c>
      <c r="E12" s="6">
        <v>413480</v>
      </c>
      <c r="F12" s="6">
        <v>616614</v>
      </c>
      <c r="G12" s="358">
        <f>+G4*G13</f>
        <v>595921.83738493174</v>
      </c>
      <c r="H12" s="358">
        <f t="shared" ref="H12:K12" si="9">+H4*H13</f>
        <v>675021.63167191972</v>
      </c>
      <c r="I12" s="358">
        <f t="shared" si="9"/>
        <v>811479.51937798108</v>
      </c>
      <c r="J12" s="358">
        <f t="shared" si="9"/>
        <v>970573.64675333723</v>
      </c>
      <c r="K12" s="358">
        <f t="shared" si="9"/>
        <v>1089359.3822616977</v>
      </c>
      <c r="L12" s="159"/>
    </row>
    <row r="13" spans="1:12" s="67" customFormat="1" x14ac:dyDescent="0.3">
      <c r="A13" s="67" t="s">
        <v>334</v>
      </c>
      <c r="B13" s="67">
        <f t="shared" ref="B13:F13" si="10">B12/B4</f>
        <v>1.2023349523922875E-2</v>
      </c>
      <c r="C13" s="67">
        <f t="shared" si="10"/>
        <v>9.1846434568921605E-3</v>
      </c>
      <c r="D13" s="67">
        <f t="shared" si="10"/>
        <v>1.1147815194016896E-2</v>
      </c>
      <c r="E13" s="67">
        <f t="shared" si="10"/>
        <v>1.4772245612841694E-2</v>
      </c>
      <c r="F13" s="67">
        <f t="shared" si="10"/>
        <v>1.3699390693108335E-2</v>
      </c>
      <c r="G13" s="345">
        <f>+AVERAGE(B13:F13)</f>
        <v>1.2165488896156391E-2</v>
      </c>
      <c r="H13" s="345">
        <f t="shared" ref="H13:K13" si="11">+AVERAGE(C13:G13)</f>
        <v>1.2193916770603094E-2</v>
      </c>
      <c r="I13" s="345">
        <f t="shared" si="11"/>
        <v>1.2795771433345282E-2</v>
      </c>
      <c r="J13" s="345">
        <f t="shared" si="11"/>
        <v>1.3125362681210961E-2</v>
      </c>
      <c r="K13" s="345">
        <f t="shared" si="11"/>
        <v>1.2795986094884812E-2</v>
      </c>
      <c r="L13" s="159"/>
    </row>
    <row r="14" spans="1:12" s="2" customFormat="1" x14ac:dyDescent="0.3">
      <c r="A14" s="2" t="s">
        <v>335</v>
      </c>
      <c r="B14" s="2">
        <v>179561</v>
      </c>
      <c r="C14" s="2">
        <v>313647</v>
      </c>
      <c r="D14" s="2">
        <v>195486</v>
      </c>
      <c r="E14" s="6">
        <v>169833</v>
      </c>
      <c r="F14" s="6">
        <v>780940</v>
      </c>
      <c r="G14" s="358">
        <f>+G15*G4</f>
        <v>485790.01315760921</v>
      </c>
      <c r="H14" s="358">
        <f t="shared" ref="H14:K14" si="12">+H15*H4</f>
        <v>567326.32512709755</v>
      </c>
      <c r="I14" s="358">
        <f t="shared" si="12"/>
        <v>638150.71027501358</v>
      </c>
      <c r="J14" s="358">
        <f t="shared" si="12"/>
        <v>793387.45122392825</v>
      </c>
      <c r="K14" s="358">
        <f t="shared" si="12"/>
        <v>992781.70203313592</v>
      </c>
      <c r="L14" s="159"/>
    </row>
    <row r="15" spans="1:12" s="67" customFormat="1" x14ac:dyDescent="0.3">
      <c r="A15" s="67" t="s">
        <v>336</v>
      </c>
      <c r="B15" s="67">
        <f t="shared" ref="B15:F15" si="13">B14/B4</f>
        <v>8.2608857473324901E-3</v>
      </c>
      <c r="C15" s="67">
        <f t="shared" si="13"/>
        <v>1.1177513585450655E-2</v>
      </c>
      <c r="D15" s="67">
        <f t="shared" si="13"/>
        <v>6.7297729332488846E-3</v>
      </c>
      <c r="E15" s="67">
        <f t="shared" si="13"/>
        <v>6.0675601943642821E-3</v>
      </c>
      <c r="F15" s="67">
        <f t="shared" si="13"/>
        <v>1.735024207668983E-2</v>
      </c>
      <c r="G15" s="345">
        <f>AVERAGE(B15:F15)</f>
        <v>9.9171949074172271E-3</v>
      </c>
      <c r="H15" s="345">
        <f t="shared" ref="H15:K15" si="14">AVERAGE(C15:G15)</f>
        <v>1.0248456739434175E-2</v>
      </c>
      <c r="I15" s="345">
        <f t="shared" si="14"/>
        <v>1.0062645370230879E-2</v>
      </c>
      <c r="J15" s="345">
        <f t="shared" si="14"/>
        <v>1.0729219857627278E-2</v>
      </c>
      <c r="K15" s="345">
        <f t="shared" si="14"/>
        <v>1.1661551790279879E-2</v>
      </c>
      <c r="L15" s="13"/>
    </row>
    <row r="16" spans="1:12" s="2" customFormat="1" x14ac:dyDescent="0.3">
      <c r="A16" s="2" t="s">
        <v>337</v>
      </c>
      <c r="B16" s="2">
        <v>406128</v>
      </c>
      <c r="C16" s="2">
        <v>382944</v>
      </c>
      <c r="D16" s="2">
        <v>1015764</v>
      </c>
      <c r="E16" s="6">
        <v>821642</v>
      </c>
      <c r="F16" s="6">
        <v>1710507</v>
      </c>
      <c r="G16" s="358">
        <f>+G17*G4</f>
        <v>1319224.2572916937</v>
      </c>
      <c r="H16" s="358">
        <f t="shared" ref="H16:K16" si="15">+H17*H4</f>
        <v>1582154.9590482537</v>
      </c>
      <c r="I16" s="358">
        <f t="shared" si="15"/>
        <v>2001944.8317996189</v>
      </c>
      <c r="J16" s="358">
        <f t="shared" si="15"/>
        <v>2284010.0722013991</v>
      </c>
      <c r="K16" s="358">
        <f t="shared" si="15"/>
        <v>2655630.1982713901</v>
      </c>
      <c r="L16" s="14"/>
    </row>
    <row r="17" spans="1:12" s="67" customFormat="1" x14ac:dyDescent="0.3">
      <c r="A17" s="67" t="s">
        <v>338</v>
      </c>
      <c r="B17" s="67">
        <f t="shared" ref="B17:F17" si="16">B16/B4</f>
        <v>1.8684330154057117E-2</v>
      </c>
      <c r="C17" s="67">
        <f t="shared" si="16"/>
        <v>1.3647067443549007E-2</v>
      </c>
      <c r="D17" s="67">
        <f t="shared" si="16"/>
        <v>3.4968545439410595E-2</v>
      </c>
      <c r="E17" s="67">
        <f t="shared" si="16"/>
        <v>2.9354497024829434E-2</v>
      </c>
      <c r="F17" s="67">
        <f t="shared" si="16"/>
        <v>3.8002548881953147E-2</v>
      </c>
      <c r="G17" s="345">
        <f>AVERAGE(B17:F17)</f>
        <v>2.6931397788759859E-2</v>
      </c>
      <c r="H17" s="345">
        <f t="shared" ref="H17:K17" si="17">AVERAGE(C17:G17)</f>
        <v>2.8580811315700404E-2</v>
      </c>
      <c r="I17" s="345">
        <f t="shared" si="17"/>
        <v>3.1567560090130689E-2</v>
      </c>
      <c r="J17" s="345">
        <f t="shared" si="17"/>
        <v>3.0887363020274707E-2</v>
      </c>
      <c r="K17" s="345">
        <f t="shared" si="17"/>
        <v>3.1193936219363762E-2</v>
      </c>
      <c r="L17" s="13"/>
    </row>
    <row r="18" spans="1:12" x14ac:dyDescent="0.3">
      <c r="G18" s="168"/>
      <c r="H18" s="168"/>
      <c r="I18" s="168"/>
      <c r="J18" s="168"/>
      <c r="K18" s="168"/>
      <c r="L18" s="13"/>
    </row>
    <row r="19" spans="1:12" ht="15" thickBot="1" x14ac:dyDescent="0.35">
      <c r="B19" s="148">
        <f>+B6+B8+B10+B12+B14+B16</f>
        <v>4091207</v>
      </c>
      <c r="C19" s="148">
        <f t="shared" ref="C19:K19" si="18">+C6+C8+C10+C12+C14+C16</f>
        <v>4494420</v>
      </c>
      <c r="D19" s="148">
        <f t="shared" si="18"/>
        <v>5904129</v>
      </c>
      <c r="E19" s="148">
        <f t="shared" si="18"/>
        <v>7280706</v>
      </c>
      <c r="F19" s="148">
        <f t="shared" si="18"/>
        <v>16355777</v>
      </c>
      <c r="G19" s="396">
        <f t="shared" si="18"/>
        <v>11512727.26799869</v>
      </c>
      <c r="H19" s="396">
        <f t="shared" si="18"/>
        <v>13252487.850878688</v>
      </c>
      <c r="I19" s="396">
        <f t="shared" si="18"/>
        <v>15958654.389085837</v>
      </c>
      <c r="J19" s="396">
        <f t="shared" si="18"/>
        <v>19415784.077914551</v>
      </c>
      <c r="K19" s="396">
        <f t="shared" si="18"/>
        <v>23016254.663770407</v>
      </c>
      <c r="L19" s="13"/>
    </row>
    <row r="20" spans="1:12" x14ac:dyDescent="0.3">
      <c r="A20" s="159"/>
      <c r="B20" s="159"/>
      <c r="C20" s="159"/>
      <c r="D20" s="159"/>
      <c r="E20" s="159"/>
      <c r="F20" s="159"/>
      <c r="G20" s="159"/>
      <c r="H20" s="159"/>
      <c r="I20" s="159"/>
      <c r="J20" s="159"/>
      <c r="K20" s="159"/>
      <c r="L20" s="13"/>
    </row>
    <row r="21" spans="1:12" x14ac:dyDescent="0.3">
      <c r="A21" s="159"/>
      <c r="B21" s="159"/>
      <c r="C21" s="159"/>
      <c r="D21" s="159"/>
      <c r="E21" s="159"/>
      <c r="F21" s="159"/>
      <c r="G21" s="159"/>
      <c r="H21" s="159"/>
      <c r="I21" s="159"/>
      <c r="J21" s="159"/>
      <c r="K21" s="159"/>
      <c r="L21" s="13"/>
    </row>
    <row r="22" spans="1:12" x14ac:dyDescent="0.3">
      <c r="L22" s="13"/>
    </row>
    <row r="23" spans="1:12" x14ac:dyDescent="0.3">
      <c r="C23" s="40"/>
      <c r="L23" s="13"/>
    </row>
    <row r="24" spans="1:12" x14ac:dyDescent="0.3">
      <c r="L24" s="13"/>
    </row>
    <row r="25" spans="1:12" x14ac:dyDescent="0.3">
      <c r="L25" s="13"/>
    </row>
    <row r="26" spans="1:12" x14ac:dyDescent="0.3">
      <c r="G26" s="4"/>
      <c r="L26" s="13"/>
    </row>
    <row r="27" spans="1:12" ht="15.6" x14ac:dyDescent="0.3">
      <c r="A27" s="181" t="s">
        <v>93</v>
      </c>
      <c r="B27" s="182"/>
      <c r="C27" s="182"/>
      <c r="D27" s="182"/>
      <c r="E27" s="182"/>
      <c r="F27" s="182"/>
      <c r="G27" s="182"/>
      <c r="H27" s="182"/>
      <c r="I27" s="182"/>
      <c r="J27" s="182"/>
      <c r="K27" s="182"/>
      <c r="L27" s="13"/>
    </row>
    <row r="28" spans="1:12" x14ac:dyDescent="0.3">
      <c r="L28" s="13"/>
    </row>
    <row r="29" spans="1:12" x14ac:dyDescent="0.3">
      <c r="B29" s="85">
        <v>2018</v>
      </c>
      <c r="C29" s="85">
        <v>2019</v>
      </c>
      <c r="D29" s="85">
        <v>2020</v>
      </c>
      <c r="E29" s="87">
        <v>2021</v>
      </c>
      <c r="F29" s="87">
        <v>2022</v>
      </c>
      <c r="G29" s="87">
        <v>2023</v>
      </c>
      <c r="H29" s="87">
        <v>2024</v>
      </c>
      <c r="I29" s="87">
        <v>2025</v>
      </c>
      <c r="J29" s="87">
        <v>202</v>
      </c>
      <c r="K29" s="87">
        <v>2027</v>
      </c>
      <c r="L29" s="13"/>
    </row>
    <row r="30" spans="1:12" x14ac:dyDescent="0.3">
      <c r="A30" s="449" t="s">
        <v>345</v>
      </c>
      <c r="B30" s="449"/>
      <c r="C30" s="449"/>
      <c r="D30" s="449"/>
      <c r="E30" s="455"/>
      <c r="F30" s="455"/>
      <c r="G30" s="163"/>
      <c r="H30" s="163"/>
      <c r="I30" s="163"/>
      <c r="J30" s="163"/>
      <c r="K30" s="163"/>
      <c r="L30" s="13"/>
    </row>
    <row r="31" spans="1:12" x14ac:dyDescent="0.3">
      <c r="A31" s="386" t="s">
        <v>346</v>
      </c>
      <c r="B31" s="456">
        <v>6259</v>
      </c>
      <c r="C31" s="456">
        <v>24394</v>
      </c>
      <c r="D31" s="456">
        <v>160377</v>
      </c>
      <c r="E31" s="457">
        <v>248728</v>
      </c>
      <c r="F31" s="457">
        <v>218012</v>
      </c>
      <c r="G31" s="346">
        <f>+AVERAGE(B31:F31)</f>
        <v>131554</v>
      </c>
      <c r="H31" s="346">
        <f t="shared" ref="H31:K31" si="19">+AVERAGE(C31:G31)</f>
        <v>156613</v>
      </c>
      <c r="I31" s="346">
        <f t="shared" si="19"/>
        <v>183056.8</v>
      </c>
      <c r="J31" s="346">
        <f t="shared" si="19"/>
        <v>187592.76</v>
      </c>
      <c r="K31" s="346">
        <f t="shared" si="19"/>
        <v>175365.712</v>
      </c>
      <c r="L31" s="13"/>
    </row>
    <row r="32" spans="1:12" x14ac:dyDescent="0.3">
      <c r="A32" s="386" t="s">
        <v>347</v>
      </c>
      <c r="B32" s="456">
        <v>1169804</v>
      </c>
      <c r="C32" s="456">
        <v>1515279</v>
      </c>
      <c r="D32" s="456">
        <v>2667238</v>
      </c>
      <c r="E32" s="457">
        <v>2859562</v>
      </c>
      <c r="F32" s="457">
        <v>5695530</v>
      </c>
      <c r="G32" s="346">
        <f>+G34-G31</f>
        <v>3697082.7959861383</v>
      </c>
      <c r="H32" s="346">
        <f>+H34-H31</f>
        <v>3179839.7360748379</v>
      </c>
      <c r="I32" s="346">
        <f>+I34-I31</f>
        <v>2566800.749845691</v>
      </c>
      <c r="J32" s="346">
        <f>+J34-J31</f>
        <v>1889165.9002048594</v>
      </c>
      <c r="K32" s="346">
        <f>+K34-K31</f>
        <v>1124340.1128654578</v>
      </c>
      <c r="L32" s="13"/>
    </row>
    <row r="33" spans="1:12" x14ac:dyDescent="0.3">
      <c r="A33" s="386" t="s">
        <v>348</v>
      </c>
      <c r="B33" s="456">
        <v>553392</v>
      </c>
      <c r="C33" s="456">
        <v>627012</v>
      </c>
      <c r="D33" s="456">
        <v>674496</v>
      </c>
      <c r="E33" s="457" t="s">
        <v>82</v>
      </c>
      <c r="F33" s="457" t="s">
        <v>82</v>
      </c>
      <c r="G33" s="346" t="s">
        <v>82</v>
      </c>
      <c r="H33" s="346" t="s">
        <v>82</v>
      </c>
      <c r="I33" s="346" t="s">
        <v>82</v>
      </c>
      <c r="J33" s="346" t="s">
        <v>82</v>
      </c>
      <c r="K33" s="346" t="s">
        <v>82</v>
      </c>
      <c r="L33" s="13"/>
    </row>
    <row r="34" spans="1:12" x14ac:dyDescent="0.3">
      <c r="A34" s="458" t="s">
        <v>367</v>
      </c>
      <c r="B34" s="459">
        <f>SUM(B31:B33)</f>
        <v>1729455</v>
      </c>
      <c r="C34" s="459">
        <f>SUM(C31:C33)</f>
        <v>2166685</v>
      </c>
      <c r="D34" s="459">
        <f>SUM(D31:D33)</f>
        <v>3502111</v>
      </c>
      <c r="E34" s="459">
        <f>SUM(E31:E33)</f>
        <v>3108290</v>
      </c>
      <c r="F34" s="459">
        <f>SUM(F31:F33)</f>
        <v>5913542</v>
      </c>
      <c r="G34" s="347">
        <f>+F47*G42</f>
        <v>3828636.7959861383</v>
      </c>
      <c r="H34" s="347">
        <f>+G47*H42</f>
        <v>3336452.7360748379</v>
      </c>
      <c r="I34" s="347">
        <f>+H47*I42</f>
        <v>2749857.5498456908</v>
      </c>
      <c r="J34" s="347">
        <f>+I47*J42</f>
        <v>2076758.6602048595</v>
      </c>
      <c r="K34" s="347">
        <f>+J47*K42</f>
        <v>1299705.8248654578</v>
      </c>
      <c r="L34" s="13"/>
    </row>
    <row r="35" spans="1:12" x14ac:dyDescent="0.3">
      <c r="A35" s="386"/>
      <c r="B35" s="460"/>
      <c r="C35" s="456"/>
      <c r="D35" s="460"/>
      <c r="E35" s="461"/>
      <c r="F35" s="461"/>
      <c r="G35" s="348"/>
      <c r="H35" s="348"/>
      <c r="I35" s="348"/>
      <c r="J35" s="348"/>
      <c r="K35" s="348"/>
      <c r="L35" s="13"/>
    </row>
    <row r="36" spans="1:12" x14ac:dyDescent="0.3">
      <c r="A36" s="449" t="s">
        <v>349</v>
      </c>
      <c r="B36" s="460"/>
      <c r="C36" s="456"/>
      <c r="D36" s="460"/>
      <c r="E36" s="461"/>
      <c r="F36" s="461"/>
      <c r="G36" s="348"/>
      <c r="H36" s="348"/>
      <c r="I36" s="348"/>
      <c r="J36" s="348"/>
      <c r="K36" s="348"/>
      <c r="L36" s="13"/>
    </row>
    <row r="37" spans="1:12" x14ac:dyDescent="0.3">
      <c r="A37" s="386" t="s">
        <v>343</v>
      </c>
      <c r="B37" s="456">
        <v>368928</v>
      </c>
      <c r="C37" s="456">
        <v>418008</v>
      </c>
      <c r="D37" s="456">
        <v>412192</v>
      </c>
      <c r="E37" s="456">
        <v>197620</v>
      </c>
      <c r="F37" s="457" t="s">
        <v>82</v>
      </c>
      <c r="G37" s="346" t="s">
        <v>82</v>
      </c>
      <c r="H37" s="346" t="s">
        <v>82</v>
      </c>
      <c r="I37" s="346" t="s">
        <v>82</v>
      </c>
      <c r="J37" s="346" t="s">
        <v>82</v>
      </c>
      <c r="K37" s="346" t="s">
        <v>82</v>
      </c>
      <c r="L37" s="13"/>
    </row>
    <row r="38" spans="1:12" x14ac:dyDescent="0.3">
      <c r="A38" s="386" t="s">
        <v>344</v>
      </c>
      <c r="B38" s="456">
        <v>737856</v>
      </c>
      <c r="C38" s="456">
        <v>383174</v>
      </c>
      <c r="D38" s="457" t="s">
        <v>82</v>
      </c>
      <c r="E38" s="457" t="s">
        <v>82</v>
      </c>
      <c r="F38" s="456">
        <v>5581171</v>
      </c>
      <c r="G38" s="349">
        <f>+G40-G39</f>
        <v>4172707.0040138615</v>
      </c>
      <c r="H38" s="349">
        <f t="shared" ref="H38:K38" si="20">+H40-H39</f>
        <v>3604155.2639251626</v>
      </c>
      <c r="I38" s="349">
        <f t="shared" si="20"/>
        <v>2926543.4901543097</v>
      </c>
      <c r="J38" s="349">
        <f t="shared" si="20"/>
        <v>2149006.0277951406</v>
      </c>
      <c r="K38" s="349">
        <f t="shared" si="20"/>
        <v>1251385.0407345428</v>
      </c>
      <c r="L38" s="13"/>
    </row>
    <row r="39" spans="1:12" x14ac:dyDescent="0.3">
      <c r="A39" s="386" t="s">
        <v>355</v>
      </c>
      <c r="B39" s="457" t="s">
        <v>82</v>
      </c>
      <c r="C39" s="457" t="s">
        <v>82</v>
      </c>
      <c r="D39" s="457" t="s">
        <v>82</v>
      </c>
      <c r="E39" s="457" t="s">
        <v>82</v>
      </c>
      <c r="F39" s="456">
        <v>1249921</v>
      </c>
      <c r="G39" s="349">
        <f>+$F$39/5</f>
        <v>249984.2</v>
      </c>
      <c r="H39" s="349">
        <f t="shared" ref="H39:K39" si="21">+$F$39/5</f>
        <v>249984.2</v>
      </c>
      <c r="I39" s="349">
        <f t="shared" si="21"/>
        <v>249984.2</v>
      </c>
      <c r="J39" s="349">
        <f t="shared" si="21"/>
        <v>249984.2</v>
      </c>
      <c r="K39" s="349">
        <f t="shared" si="21"/>
        <v>249984.2</v>
      </c>
      <c r="L39" s="13"/>
    </row>
    <row r="40" spans="1:12" x14ac:dyDescent="0.3">
      <c r="A40" s="458" t="s">
        <v>363</v>
      </c>
      <c r="B40" s="459">
        <f>SUM(B37:B39)</f>
        <v>1106784</v>
      </c>
      <c r="C40" s="459">
        <f>SUM(C37:C39)</f>
        <v>801182</v>
      </c>
      <c r="D40" s="459">
        <f>SUM(D37:D39)</f>
        <v>412192</v>
      </c>
      <c r="E40" s="459">
        <f>SUM(E37:E39)</f>
        <v>197620</v>
      </c>
      <c r="F40" s="459">
        <f>SUM(F37:F39)</f>
        <v>6831092</v>
      </c>
      <c r="G40" s="347">
        <f>+G42*F48</f>
        <v>4422691.2040138617</v>
      </c>
      <c r="H40" s="347">
        <f>+H42*G48</f>
        <v>3854139.4639251628</v>
      </c>
      <c r="I40" s="347">
        <f>+I42*H48</f>
        <v>3176527.6901543099</v>
      </c>
      <c r="J40" s="347">
        <f>+J42*I48</f>
        <v>2398990.2277951408</v>
      </c>
      <c r="K40" s="347">
        <f>+K42*J48</f>
        <v>1501369.2407345427</v>
      </c>
      <c r="L40" s="13"/>
    </row>
    <row r="41" spans="1:12" x14ac:dyDescent="0.3">
      <c r="A41" s="386"/>
      <c r="B41" s="460"/>
      <c r="C41" s="460"/>
      <c r="D41" s="460"/>
      <c r="E41" s="460"/>
      <c r="F41" s="460"/>
      <c r="G41" s="350"/>
      <c r="H41" s="350"/>
      <c r="I41" s="350"/>
      <c r="J41" s="350"/>
      <c r="K41" s="350"/>
      <c r="L41" s="13"/>
    </row>
    <row r="42" spans="1:12" ht="15" thickBot="1" x14ac:dyDescent="0.35">
      <c r="A42" s="462" t="s">
        <v>181</v>
      </c>
      <c r="B42" s="463">
        <f>+B40+B34</f>
        <v>2836239</v>
      </c>
      <c r="C42" s="463">
        <f>+C40+C34</f>
        <v>2967867</v>
      </c>
      <c r="D42" s="463">
        <f>+D40+D34</f>
        <v>3914303</v>
      </c>
      <c r="E42" s="463">
        <f>+E40+E34</f>
        <v>3305910</v>
      </c>
      <c r="F42" s="463">
        <f>+F40+F34</f>
        <v>12744634</v>
      </c>
      <c r="G42" s="351">
        <f>+F42+F43</f>
        <v>8251328</v>
      </c>
      <c r="H42" s="351">
        <f t="shared" ref="H42:K42" si="22">+G42+G43</f>
        <v>7190592.2000000002</v>
      </c>
      <c r="I42" s="351">
        <f t="shared" si="22"/>
        <v>5926385.2400000002</v>
      </c>
      <c r="J42" s="351">
        <f t="shared" si="22"/>
        <v>4475748.8880000003</v>
      </c>
      <c r="K42" s="351">
        <f t="shared" si="22"/>
        <v>2801075.0656000003</v>
      </c>
      <c r="L42" s="13"/>
    </row>
    <row r="43" spans="1:12" x14ac:dyDescent="0.3">
      <c r="A43" s="449" t="s">
        <v>361</v>
      </c>
      <c r="B43" s="234">
        <v>-43380</v>
      </c>
      <c r="C43" s="234">
        <v>-332060</v>
      </c>
      <c r="D43" s="234">
        <v>-330449</v>
      </c>
      <c r="E43" s="234">
        <v>-104484</v>
      </c>
      <c r="F43" s="234">
        <v>-4493306</v>
      </c>
      <c r="G43" s="166">
        <f>+AVERAGE(B43:F43)</f>
        <v>-1060735.8</v>
      </c>
      <c r="H43" s="166">
        <f t="shared" ref="H43:K43" si="23">+AVERAGE(C43:G43)</f>
        <v>-1264206.96</v>
      </c>
      <c r="I43" s="166">
        <f t="shared" si="23"/>
        <v>-1450636.352</v>
      </c>
      <c r="J43" s="166">
        <f t="shared" si="23"/>
        <v>-1674673.8223999999</v>
      </c>
      <c r="K43" s="166">
        <f t="shared" si="23"/>
        <v>-1988711.78688</v>
      </c>
      <c r="L43" s="13"/>
    </row>
    <row r="44" spans="1:12" x14ac:dyDescent="0.3">
      <c r="A44" s="386"/>
      <c r="B44" s="352"/>
      <c r="C44" s="464"/>
      <c r="D44" s="464"/>
      <c r="E44" s="386"/>
      <c r="F44" s="386"/>
      <c r="G44" s="350">
        <f>+G40+G34</f>
        <v>8251328</v>
      </c>
      <c r="H44" s="350">
        <f>+H40+H34</f>
        <v>7190592.2000000011</v>
      </c>
      <c r="I44" s="350">
        <f>+I40+I34</f>
        <v>5926385.2400000002</v>
      </c>
      <c r="J44" s="350">
        <f>+J40+J34</f>
        <v>4475748.8880000003</v>
      </c>
      <c r="K44" s="350">
        <f>+K40+K34</f>
        <v>2801075.0656000003</v>
      </c>
      <c r="L44" s="13"/>
    </row>
    <row r="45" spans="1:12" x14ac:dyDescent="0.3">
      <c r="A45" s="386"/>
      <c r="B45" s="352"/>
      <c r="C45" s="464"/>
      <c r="D45" s="464"/>
      <c r="E45" s="386"/>
      <c r="F45" s="386"/>
      <c r="G45" s="246">
        <f>+G42-G44</f>
        <v>0</v>
      </c>
      <c r="H45" s="246">
        <f t="shared" ref="H45:K45" si="24">+H42-H44</f>
        <v>0</v>
      </c>
      <c r="I45" s="246">
        <f t="shared" si="24"/>
        <v>0</v>
      </c>
      <c r="J45" s="246">
        <f t="shared" si="24"/>
        <v>0</v>
      </c>
      <c r="K45" s="246">
        <f t="shared" si="24"/>
        <v>0</v>
      </c>
      <c r="L45" s="13"/>
    </row>
    <row r="46" spans="1:12" x14ac:dyDescent="0.3">
      <c r="A46" s="386"/>
      <c r="B46" s="352"/>
      <c r="C46" s="464"/>
      <c r="D46" s="464"/>
      <c r="E46" s="386"/>
      <c r="F46" s="386"/>
      <c r="G46" s="167"/>
      <c r="H46" s="168"/>
      <c r="I46" s="168"/>
      <c r="J46" s="167"/>
      <c r="K46" s="168"/>
      <c r="L46" s="13"/>
    </row>
    <row r="47" spans="1:12" x14ac:dyDescent="0.3">
      <c r="A47" s="450" t="s">
        <v>365</v>
      </c>
      <c r="B47" s="465">
        <f>+B34/B42</f>
        <v>0.609770544724898</v>
      </c>
      <c r="C47" s="465">
        <f>+C34/C42</f>
        <v>0.7300478761346112</v>
      </c>
      <c r="D47" s="465">
        <f>+D34/D42</f>
        <v>0.89469593948143511</v>
      </c>
      <c r="E47" s="465">
        <f>+E34/E42</f>
        <v>0.94022220810608881</v>
      </c>
      <c r="F47" s="465">
        <f>+F34/F42</f>
        <v>0.46400249705091573</v>
      </c>
      <c r="G47" s="169">
        <v>0.46400249705091573</v>
      </c>
      <c r="H47" s="169">
        <v>0.46400249705091573</v>
      </c>
      <c r="I47" s="169">
        <v>0.46400249705091573</v>
      </c>
      <c r="J47" s="169">
        <v>0.46400249705091573</v>
      </c>
      <c r="K47" s="170">
        <v>0.46400249705091573</v>
      </c>
      <c r="L47" s="13"/>
    </row>
    <row r="48" spans="1:12" x14ac:dyDescent="0.3">
      <c r="A48" s="453" t="s">
        <v>366</v>
      </c>
      <c r="B48" s="352">
        <f>+B40/B42</f>
        <v>0.390229455275102</v>
      </c>
      <c r="C48" s="352">
        <f>+C40/C42</f>
        <v>0.26995212386538886</v>
      </c>
      <c r="D48" s="352">
        <f>+D40/D42</f>
        <v>0.10530406051856486</v>
      </c>
      <c r="E48" s="352">
        <f>+E40/E42</f>
        <v>5.9777791893911206E-2</v>
      </c>
      <c r="F48" s="352">
        <f>+F40/F42</f>
        <v>0.53599750294908433</v>
      </c>
      <c r="G48" s="165">
        <v>0.53599750294908433</v>
      </c>
      <c r="H48" s="165">
        <v>0.53599750294908433</v>
      </c>
      <c r="I48" s="165">
        <v>0.53599750294908433</v>
      </c>
      <c r="J48" s="165">
        <v>0.53599750294908433</v>
      </c>
      <c r="K48" s="171">
        <v>0.53599750294908433</v>
      </c>
      <c r="L48" s="13"/>
    </row>
    <row r="49" spans="1:12" x14ac:dyDescent="0.3">
      <c r="A49" s="447" t="s">
        <v>368</v>
      </c>
      <c r="B49" s="404">
        <f>SUM(B47:B48)</f>
        <v>1</v>
      </c>
      <c r="C49" s="404">
        <f t="shared" ref="C49:F49" si="25">SUM(C47:C48)</f>
        <v>1</v>
      </c>
      <c r="D49" s="404">
        <f t="shared" si="25"/>
        <v>1</v>
      </c>
      <c r="E49" s="404">
        <f t="shared" si="25"/>
        <v>1</v>
      </c>
      <c r="F49" s="404">
        <f t="shared" si="25"/>
        <v>1</v>
      </c>
      <c r="G49" s="172">
        <f t="shared" ref="G49" si="26">SUM(G47:G48)</f>
        <v>1</v>
      </c>
      <c r="H49" s="172">
        <f t="shared" ref="H49" si="27">SUM(H47:H48)</f>
        <v>1</v>
      </c>
      <c r="I49" s="172">
        <f t="shared" ref="I49" si="28">SUM(I47:I48)</f>
        <v>1</v>
      </c>
      <c r="J49" s="172">
        <f t="shared" ref="J49" si="29">SUM(J47:J48)</f>
        <v>1</v>
      </c>
      <c r="K49" s="173">
        <f t="shared" ref="K49" si="30">SUM(K47:K48)</f>
        <v>1</v>
      </c>
      <c r="L49" s="13"/>
    </row>
    <row r="50" spans="1:12" x14ac:dyDescent="0.3">
      <c r="C50" s="3"/>
      <c r="L50" s="13"/>
    </row>
    <row r="51" spans="1:12" x14ac:dyDescent="0.3">
      <c r="C51" s="3"/>
      <c r="L51" s="13"/>
    </row>
    <row r="52" spans="1:12" x14ac:dyDescent="0.3">
      <c r="A52" s="449" t="s">
        <v>350</v>
      </c>
      <c r="B52" s="386"/>
      <c r="C52" s="386"/>
      <c r="D52" s="386"/>
      <c r="E52" s="386"/>
      <c r="F52" s="386"/>
      <c r="L52" s="13"/>
    </row>
    <row r="53" spans="1:12" x14ac:dyDescent="0.3">
      <c r="A53" s="450" t="s">
        <v>351</v>
      </c>
      <c r="B53" s="451">
        <v>0.05</v>
      </c>
      <c r="C53" s="451">
        <v>0.05</v>
      </c>
      <c r="D53" s="451">
        <v>0.05</v>
      </c>
      <c r="E53" s="452" t="s">
        <v>82</v>
      </c>
      <c r="F53" s="452" t="s">
        <v>82</v>
      </c>
      <c r="G53" s="176" t="s">
        <v>82</v>
      </c>
      <c r="H53" s="176" t="s">
        <v>82</v>
      </c>
      <c r="I53" s="176" t="s">
        <v>82</v>
      </c>
      <c r="J53" s="176" t="s">
        <v>82</v>
      </c>
      <c r="K53" s="177" t="s">
        <v>82</v>
      </c>
      <c r="L53" s="13"/>
    </row>
    <row r="54" spans="1:12" x14ac:dyDescent="0.3">
      <c r="A54" s="453" t="s">
        <v>352</v>
      </c>
      <c r="B54" s="454" t="s">
        <v>353</v>
      </c>
      <c r="C54" s="454" t="s">
        <v>353</v>
      </c>
      <c r="D54" s="454" t="s">
        <v>353</v>
      </c>
      <c r="E54" s="454" t="s">
        <v>353</v>
      </c>
      <c r="F54" s="454" t="s">
        <v>356</v>
      </c>
      <c r="G54" s="164" t="s">
        <v>356</v>
      </c>
      <c r="H54" s="164" t="s">
        <v>356</v>
      </c>
      <c r="I54" s="164" t="s">
        <v>356</v>
      </c>
      <c r="J54" s="164" t="s">
        <v>356</v>
      </c>
      <c r="K54" s="178" t="s">
        <v>356</v>
      </c>
      <c r="L54" s="13"/>
    </row>
    <row r="55" spans="1:12" x14ac:dyDescent="0.3">
      <c r="A55" s="453" t="s">
        <v>372</v>
      </c>
      <c r="B55" s="144">
        <f>(0.0135+0.025)/2</f>
        <v>1.925E-2</v>
      </c>
      <c r="C55" s="144">
        <f>(0.0135+0.025)/2</f>
        <v>1.925E-2</v>
      </c>
      <c r="D55" s="144">
        <f>(0.0135+0.025)/2</f>
        <v>1.925E-2</v>
      </c>
      <c r="E55" s="144">
        <f>(0.0135+0.025)/2</f>
        <v>1.925E-2</v>
      </c>
      <c r="F55" s="144">
        <f>(0.025+0.0325)/2</f>
        <v>2.8750000000000001E-2</v>
      </c>
      <c r="G55" s="345">
        <f t="shared" ref="G55:K55" si="31">(0.025+0.0325)/2</f>
        <v>2.8750000000000001E-2</v>
      </c>
      <c r="H55" s="345">
        <f t="shared" si="31"/>
        <v>2.8750000000000001E-2</v>
      </c>
      <c r="I55" s="345">
        <f t="shared" si="31"/>
        <v>2.8750000000000001E-2</v>
      </c>
      <c r="J55" s="345">
        <f t="shared" si="31"/>
        <v>2.8750000000000001E-2</v>
      </c>
      <c r="K55" s="345">
        <f t="shared" si="31"/>
        <v>2.8750000000000001E-2</v>
      </c>
      <c r="L55" s="13"/>
    </row>
    <row r="56" spans="1:12" x14ac:dyDescent="0.3">
      <c r="A56" s="453" t="s">
        <v>346</v>
      </c>
      <c r="B56" s="454" t="s">
        <v>354</v>
      </c>
      <c r="C56" s="454" t="s">
        <v>354</v>
      </c>
      <c r="D56" s="454" t="s">
        <v>354</v>
      </c>
      <c r="E56" s="454" t="s">
        <v>354</v>
      </c>
      <c r="F56" s="454" t="s">
        <v>354</v>
      </c>
      <c r="G56" s="164" t="s">
        <v>354</v>
      </c>
      <c r="H56" s="164" t="s">
        <v>354</v>
      </c>
      <c r="I56" s="164" t="s">
        <v>354</v>
      </c>
      <c r="J56" s="164" t="s">
        <v>354</v>
      </c>
      <c r="K56" s="164" t="s">
        <v>354</v>
      </c>
      <c r="L56" s="13"/>
    </row>
    <row r="57" spans="1:12" ht="14.25" customHeight="1" x14ac:dyDescent="0.3">
      <c r="A57" s="447" t="s">
        <v>355</v>
      </c>
      <c r="B57" s="448" t="s">
        <v>82</v>
      </c>
      <c r="C57" s="448" t="s">
        <v>82</v>
      </c>
      <c r="D57" s="448" t="s">
        <v>82</v>
      </c>
      <c r="E57" s="448" t="s">
        <v>82</v>
      </c>
      <c r="F57" s="448" t="s">
        <v>357</v>
      </c>
      <c r="G57" s="179" t="s">
        <v>357</v>
      </c>
      <c r="H57" s="179" t="s">
        <v>357</v>
      </c>
      <c r="I57" s="179" t="s">
        <v>357</v>
      </c>
      <c r="J57" s="179" t="s">
        <v>357</v>
      </c>
      <c r="K57" s="180" t="s">
        <v>357</v>
      </c>
      <c r="L57" s="13"/>
    </row>
    <row r="58" spans="1:12" ht="14.25" customHeight="1" x14ac:dyDescent="0.3">
      <c r="B58" s="86"/>
      <c r="C58" s="86"/>
      <c r="D58" s="86"/>
      <c r="E58" s="86"/>
      <c r="F58" s="86"/>
      <c r="L58" s="13"/>
    </row>
    <row r="59" spans="1:12" x14ac:dyDescent="0.3">
      <c r="B59" s="160"/>
      <c r="C59" s="160"/>
      <c r="D59" s="160"/>
      <c r="E59" s="160"/>
      <c r="F59" s="160"/>
      <c r="L59" s="13"/>
    </row>
    <row r="60" spans="1:12" x14ac:dyDescent="0.3">
      <c r="A60" s="1" t="s">
        <v>370</v>
      </c>
      <c r="L60" s="13"/>
    </row>
    <row r="61" spans="1:12" x14ac:dyDescent="0.3">
      <c r="B61" s="85">
        <v>2018</v>
      </c>
      <c r="C61" s="85">
        <v>2019</v>
      </c>
      <c r="D61" s="85">
        <v>2020</v>
      </c>
      <c r="E61" s="87">
        <v>2021</v>
      </c>
      <c r="F61" s="87">
        <v>2022</v>
      </c>
      <c r="G61" s="87">
        <v>2023</v>
      </c>
      <c r="H61" s="87">
        <v>2024</v>
      </c>
      <c r="I61" s="87">
        <v>2025</v>
      </c>
      <c r="J61" s="87">
        <v>202</v>
      </c>
      <c r="K61" s="87">
        <v>2027</v>
      </c>
      <c r="L61" s="13"/>
    </row>
    <row r="62" spans="1:12" x14ac:dyDescent="0.3">
      <c r="A62" s="386" t="s">
        <v>319</v>
      </c>
      <c r="B62" s="415">
        <f>+'P&amp;L Working'!B72</f>
        <v>-897</v>
      </c>
      <c r="C62" s="415">
        <f>+'P&amp;L Working'!C72</f>
        <v>-446</v>
      </c>
      <c r="D62" s="415">
        <f>+'P&amp;L Working'!D72</f>
        <v>-37</v>
      </c>
      <c r="E62" s="415">
        <f>+'P&amp;L Working'!E72</f>
        <v>-1</v>
      </c>
      <c r="F62" s="415">
        <f>+'P&amp;L Working'!F72</f>
        <v>-4466</v>
      </c>
      <c r="G62" s="174">
        <f>-0.0125*G31</f>
        <v>-1644.4250000000002</v>
      </c>
      <c r="H62" s="174">
        <f t="shared" ref="H62:K62" si="32">-0.0125*H31</f>
        <v>-1957.6625000000001</v>
      </c>
      <c r="I62" s="174">
        <f t="shared" si="32"/>
        <v>-2288.21</v>
      </c>
      <c r="J62" s="174">
        <f t="shared" si="32"/>
        <v>-2344.9095000000002</v>
      </c>
      <c r="K62" s="174">
        <f t="shared" si="32"/>
        <v>-2192.0714000000003</v>
      </c>
      <c r="L62" s="13"/>
    </row>
    <row r="63" spans="1:12" x14ac:dyDescent="0.3">
      <c r="A63" s="386" t="s">
        <v>320</v>
      </c>
      <c r="B63" s="352">
        <f>+'P&amp;L Working'!B73</f>
        <v>-21576</v>
      </c>
      <c r="C63" s="352">
        <f>+'P&amp;L Working'!C73</f>
        <v>-60334</v>
      </c>
      <c r="D63" s="352">
        <f>+'P&amp;L Working'!D73</f>
        <v>-28729</v>
      </c>
      <c r="E63" s="352">
        <f>+'P&amp;L Working'!E73</f>
        <v>-15300</v>
      </c>
      <c r="F63" s="352">
        <f>+'P&amp;L Working'!F73</f>
        <v>-79001</v>
      </c>
      <c r="G63" s="175">
        <f>-G55*G32</f>
        <v>-106291.13038460148</v>
      </c>
      <c r="H63" s="175">
        <f t="shared" ref="H63:K63" si="33">-H55*H32</f>
        <v>-91420.392412151588</v>
      </c>
      <c r="I63" s="175">
        <f t="shared" si="33"/>
        <v>-73795.521558063614</v>
      </c>
      <c r="J63" s="175">
        <f t="shared" si="33"/>
        <v>-54313.519630889714</v>
      </c>
      <c r="K63" s="175">
        <f t="shared" si="33"/>
        <v>-32324.778244881913</v>
      </c>
      <c r="L63" s="13"/>
    </row>
    <row r="64" spans="1:12" x14ac:dyDescent="0.3">
      <c r="A64" s="386" t="s">
        <v>369</v>
      </c>
      <c r="B64" s="352">
        <f>+'P&amp;L Working'!B77</f>
        <v>-49307</v>
      </c>
      <c r="C64" s="352">
        <f>+'P&amp;L Working'!C77</f>
        <v>-68900</v>
      </c>
      <c r="D64" s="352">
        <f>+'P&amp;L Working'!D77</f>
        <v>-51659</v>
      </c>
      <c r="E64" s="352">
        <f>+'P&amp;L Working'!E77</f>
        <v>-24659</v>
      </c>
      <c r="F64" s="352">
        <f>+'P&amp;L Working'!F77</f>
        <v>-13037</v>
      </c>
      <c r="G64" s="165">
        <f>-G55*G40</f>
        <v>-127152.37211539852</v>
      </c>
      <c r="H64" s="165">
        <f t="shared" ref="H64:K64" si="34">-H55*H40</f>
        <v>-110806.50958784843</v>
      </c>
      <c r="I64" s="165">
        <f t="shared" si="34"/>
        <v>-91325.171091936412</v>
      </c>
      <c r="J64" s="165">
        <f t="shared" si="34"/>
        <v>-68970.969049110296</v>
      </c>
      <c r="K64" s="165">
        <f t="shared" si="34"/>
        <v>-43164.365671118103</v>
      </c>
      <c r="L64" s="13"/>
    </row>
    <row r="65" spans="1:12" x14ac:dyDescent="0.3">
      <c r="A65" s="386" t="s">
        <v>321</v>
      </c>
      <c r="B65" s="415">
        <f>+'P&amp;L Working'!B75</f>
        <v>-27643</v>
      </c>
      <c r="C65" s="415">
        <f>+'P&amp;L Working'!C75</f>
        <v>-30300</v>
      </c>
      <c r="D65" s="415">
        <f>+'P&amp;L Working'!D75</f>
        <v>-32440</v>
      </c>
      <c r="E65" s="415">
        <f>+'P&amp;L Working'!E75</f>
        <v>-31002</v>
      </c>
      <c r="F65" s="415" t="str">
        <f>+'P&amp;L Working'!F75</f>
        <v>Nil</v>
      </c>
      <c r="G65" s="164" t="s">
        <v>82</v>
      </c>
      <c r="H65" s="164" t="s">
        <v>82</v>
      </c>
      <c r="I65" s="164" t="s">
        <v>82</v>
      </c>
      <c r="J65" s="164" t="s">
        <v>82</v>
      </c>
      <c r="K65" s="164" t="s">
        <v>82</v>
      </c>
      <c r="L65" s="13"/>
    </row>
    <row r="66" spans="1:12" x14ac:dyDescent="0.3">
      <c r="A66" s="447" t="s">
        <v>355</v>
      </c>
      <c r="B66" s="448" t="s">
        <v>82</v>
      </c>
      <c r="C66" s="448" t="s">
        <v>82</v>
      </c>
      <c r="D66" s="448" t="s">
        <v>82</v>
      </c>
      <c r="E66" s="448" t="s">
        <v>82</v>
      </c>
      <c r="F66" s="448" t="s">
        <v>82</v>
      </c>
      <c r="G66" s="165">
        <f>-G39*0.025</f>
        <v>-6249.6050000000005</v>
      </c>
      <c r="H66" s="165">
        <f>-H39*0.025</f>
        <v>-6249.6050000000005</v>
      </c>
      <c r="I66" s="165">
        <f>-I39*0.025</f>
        <v>-6249.6050000000005</v>
      </c>
      <c r="J66" s="165">
        <f>-J39*0.025</f>
        <v>-6249.6050000000005</v>
      </c>
      <c r="K66" s="165">
        <f>-K39*0.025</f>
        <v>-6249.6050000000005</v>
      </c>
      <c r="L66" s="13"/>
    </row>
    <row r="67" spans="1:12" x14ac:dyDescent="0.3">
      <c r="B67" s="4">
        <f>SUM(B62:B66)</f>
        <v>-99423</v>
      </c>
      <c r="C67" s="4">
        <f>SUM(C62:C66)</f>
        <v>-159980</v>
      </c>
      <c r="D67" s="4">
        <f>SUM(D62:D66)</f>
        <v>-112865</v>
      </c>
      <c r="E67" s="4">
        <f t="shared" ref="E67:F67" si="35">SUM(E62:E66)</f>
        <v>-70962</v>
      </c>
      <c r="F67" s="4">
        <f t="shared" si="35"/>
        <v>-96504</v>
      </c>
      <c r="L67" s="13"/>
    </row>
    <row r="68" spans="1:12" x14ac:dyDescent="0.3">
      <c r="A68" t="s">
        <v>358</v>
      </c>
      <c r="L68" s="13"/>
    </row>
    <row r="69" spans="1:12" x14ac:dyDescent="0.3">
      <c r="A69" t="s">
        <v>359</v>
      </c>
      <c r="L69" s="13"/>
    </row>
    <row r="70" spans="1:12" x14ac:dyDescent="0.3">
      <c r="A70" t="s">
        <v>360</v>
      </c>
      <c r="L70" s="13"/>
    </row>
    <row r="71" spans="1:12" x14ac:dyDescent="0.3">
      <c r="A71" t="s">
        <v>509</v>
      </c>
      <c r="L71" s="13"/>
    </row>
    <row r="72" spans="1:12" x14ac:dyDescent="0.3">
      <c r="A72" t="s">
        <v>639</v>
      </c>
      <c r="L72" s="13"/>
    </row>
    <row r="73" spans="1:12" x14ac:dyDescent="0.3">
      <c r="A73" t="s">
        <v>362</v>
      </c>
      <c r="L73" s="13"/>
    </row>
    <row r="74" spans="1:12" x14ac:dyDescent="0.3">
      <c r="A74" t="s">
        <v>364</v>
      </c>
      <c r="L74" s="13"/>
    </row>
    <row r="75" spans="1:12" x14ac:dyDescent="0.3">
      <c r="A75" t="s">
        <v>371</v>
      </c>
      <c r="L75" s="13"/>
    </row>
    <row r="76" spans="1:12" x14ac:dyDescent="0.3">
      <c r="A76" s="159"/>
      <c r="B76" s="159"/>
      <c r="C76" s="159"/>
      <c r="D76" s="159"/>
      <c r="E76" s="159"/>
      <c r="F76" s="159"/>
      <c r="G76" s="159"/>
      <c r="H76" s="159"/>
      <c r="I76" s="159"/>
      <c r="J76" s="159"/>
      <c r="K76" s="159"/>
      <c r="L76" s="13"/>
    </row>
    <row r="77" spans="1:12" x14ac:dyDescent="0.3">
      <c r="A77" s="159"/>
      <c r="B77" s="159"/>
      <c r="C77" s="159"/>
      <c r="D77" s="159"/>
      <c r="E77" s="159"/>
      <c r="F77" s="159"/>
      <c r="G77" s="159"/>
      <c r="H77" s="159"/>
      <c r="I77" s="159"/>
      <c r="J77" s="159"/>
      <c r="K77" s="159"/>
      <c r="L77" s="13"/>
    </row>
    <row r="78" spans="1:12" x14ac:dyDescent="0.3">
      <c r="A78" s="159"/>
      <c r="B78" s="159"/>
      <c r="C78" s="159"/>
      <c r="D78" s="159"/>
      <c r="E78" s="159"/>
      <c r="F78" s="159"/>
      <c r="G78" s="159"/>
      <c r="H78" s="159"/>
      <c r="I78" s="159"/>
      <c r="J78" s="159"/>
      <c r="K78" s="159"/>
      <c r="L78" s="13"/>
    </row>
    <row r="79" spans="1:12" x14ac:dyDescent="0.3">
      <c r="L79" s="13"/>
    </row>
    <row r="80" spans="1:12" x14ac:dyDescent="0.3">
      <c r="L80" s="13"/>
    </row>
    <row r="81" spans="1:12" x14ac:dyDescent="0.3">
      <c r="L81" s="13"/>
    </row>
    <row r="82" spans="1:12" x14ac:dyDescent="0.3">
      <c r="B82" s="4"/>
      <c r="C82" s="4"/>
      <c r="L82" s="13"/>
    </row>
    <row r="83" spans="1:12" x14ac:dyDescent="0.3">
      <c r="A83" s="96" t="s">
        <v>86</v>
      </c>
      <c r="C83" s="4"/>
      <c r="L83" s="13"/>
    </row>
    <row r="84" spans="1:12" x14ac:dyDescent="0.3">
      <c r="A84" s="129" t="s">
        <v>431</v>
      </c>
      <c r="C84" s="4"/>
      <c r="L84" s="13"/>
    </row>
    <row r="85" spans="1:12" x14ac:dyDescent="0.3">
      <c r="A85" s="129" t="s">
        <v>434</v>
      </c>
      <c r="C85" s="4"/>
      <c r="L85" s="13"/>
    </row>
    <row r="86" spans="1:12" x14ac:dyDescent="0.3">
      <c r="A86" s="129"/>
      <c r="C86" s="4"/>
      <c r="L86" s="13"/>
    </row>
    <row r="87" spans="1:12" x14ac:dyDescent="0.3">
      <c r="B87" s="1">
        <v>2018</v>
      </c>
      <c r="C87" s="1">
        <v>2019</v>
      </c>
      <c r="D87" s="1">
        <v>2020</v>
      </c>
      <c r="E87" s="1">
        <v>2021</v>
      </c>
      <c r="F87" s="1">
        <v>2022</v>
      </c>
      <c r="G87" s="119">
        <v>2023</v>
      </c>
      <c r="H87" s="119">
        <v>2024</v>
      </c>
      <c r="I87" s="119">
        <v>2025</v>
      </c>
      <c r="J87" s="119">
        <v>2026</v>
      </c>
      <c r="K87" s="119">
        <v>2027</v>
      </c>
      <c r="L87" s="13"/>
    </row>
    <row r="88" spans="1:12" x14ac:dyDescent="0.3">
      <c r="A88" t="s">
        <v>432</v>
      </c>
      <c r="B88" s="4">
        <f>+'P&amp;L-SOFP-Ratios'!B5</f>
        <v>24647488</v>
      </c>
      <c r="C88" s="4">
        <f>+'P&amp;L-SOFP-Ratios'!C5</f>
        <v>31746592</v>
      </c>
      <c r="D88" s="4">
        <f>+'P&amp;L-SOFP-Ratios'!D5</f>
        <v>33276976</v>
      </c>
      <c r="E88" s="4">
        <f>+'P&amp;L-SOFP-Ratios'!E5</f>
        <v>31780287</v>
      </c>
      <c r="F88" s="4">
        <f>+'P&amp;L-SOFP-Ratios'!F5</f>
        <v>49587964</v>
      </c>
      <c r="G88" s="361">
        <f>+'P&amp;L-SOFP-Ratios'!G5</f>
        <v>55323307.916240007</v>
      </c>
      <c r="H88" s="361">
        <f>+'P&amp;L-SOFP-Ratios'!H5</f>
        <v>62470636.712554887</v>
      </c>
      <c r="I88" s="361">
        <f>+'P&amp;L-SOFP-Ratios'!I5</f>
        <v>71530778.143231407</v>
      </c>
      <c r="J88" s="361">
        <f>+'P&amp;L-SOFP-Ratios'!J5</f>
        <v>83149985.956478849</v>
      </c>
      <c r="K88" s="361">
        <f>+'P&amp;L-SOFP-Ratios'!K5</f>
        <v>95544636.837498561</v>
      </c>
      <c r="L88" s="13"/>
    </row>
    <row r="89" spans="1:12" x14ac:dyDescent="0.3">
      <c r="A89" t="s">
        <v>86</v>
      </c>
      <c r="B89" s="224">
        <f>+'P&amp;L-SOFP-Ratios'!B44</f>
        <v>3494456</v>
      </c>
      <c r="C89" s="225">
        <f>+'P&amp;L-SOFP-Ratios'!C44</f>
        <v>4012653</v>
      </c>
      <c r="D89" s="225">
        <f>+'P&amp;L-SOFP-Ratios'!D44</f>
        <v>4136507</v>
      </c>
      <c r="E89" s="225">
        <f>+'P&amp;L-SOFP-Ratios'!E44</f>
        <v>7180865</v>
      </c>
      <c r="F89" s="225">
        <f>+'P&amp;L-SOFP-Ratios'!F44</f>
        <v>13336000</v>
      </c>
      <c r="G89" s="400">
        <f>+G91*G88</f>
        <v>8553433.1545494776</v>
      </c>
      <c r="H89" s="400">
        <f>+H91*H88</f>
        <v>9818777.4467674065</v>
      </c>
      <c r="I89" s="400">
        <f>+I91*I88</f>
        <v>11683112.706274429</v>
      </c>
      <c r="J89" s="400">
        <f>+J91*J88</f>
        <v>14229853.644834904</v>
      </c>
      <c r="K89" s="400">
        <f>+K91*K88</f>
        <v>15303483.463199658</v>
      </c>
      <c r="L89" s="13"/>
    </row>
    <row r="90" spans="1:12" x14ac:dyDescent="0.3">
      <c r="A90" t="s">
        <v>433</v>
      </c>
      <c r="B90" s="4">
        <f>+B89/B88</f>
        <v>0.14177736895540835</v>
      </c>
      <c r="C90" s="4">
        <f>+C89/C88</f>
        <v>0.12639633885741183</v>
      </c>
      <c r="D90" s="4">
        <f>+D89/D88</f>
        <v>0.12430537558460841</v>
      </c>
      <c r="E90" s="4">
        <f>+E89/E88</f>
        <v>0.22595343459296011</v>
      </c>
      <c r="F90" s="223">
        <f>+F89/F88</f>
        <v>0.26893622815407386</v>
      </c>
      <c r="G90" s="175">
        <v>0</v>
      </c>
      <c r="H90" s="175">
        <v>0</v>
      </c>
      <c r="I90" s="175">
        <v>0</v>
      </c>
      <c r="J90" s="175">
        <v>0</v>
      </c>
      <c r="K90" s="175">
        <v>0</v>
      </c>
      <c r="L90" s="13"/>
    </row>
    <row r="91" spans="1:12" x14ac:dyDescent="0.3">
      <c r="B91" s="67">
        <v>0.14177736895540835</v>
      </c>
      <c r="C91" s="67">
        <v>0.12639633885741183</v>
      </c>
      <c r="D91" s="67">
        <v>0.12430537558460841</v>
      </c>
      <c r="E91" s="67">
        <v>0.22595343459296011</v>
      </c>
      <c r="F91" s="40">
        <f>+AVERAGE(B91:E91)</f>
        <v>0.15460812949759717</v>
      </c>
      <c r="G91" s="282">
        <f>+AVERAGE(B91:F91)</f>
        <v>0.15460812949759717</v>
      </c>
      <c r="H91" s="282">
        <f>+AVERAGE(C91:G91)</f>
        <v>0.15717428160603494</v>
      </c>
      <c r="I91" s="282">
        <f>+AVERAGE(D91:H91)</f>
        <v>0.16332987015575956</v>
      </c>
      <c r="J91" s="282">
        <f>+AVERAGE(E91:I91)</f>
        <v>0.17113476906998981</v>
      </c>
      <c r="K91" s="282">
        <f>+AVERAGE(F91:J91)</f>
        <v>0.16017103596539575</v>
      </c>
      <c r="L91" s="13"/>
    </row>
    <row r="92" spans="1:12" x14ac:dyDescent="0.3">
      <c r="B92" s="67"/>
      <c r="C92" s="67"/>
      <c r="D92" s="67"/>
      <c r="E92" s="67"/>
      <c r="F92" s="40"/>
      <c r="G92" s="282"/>
      <c r="H92" s="282"/>
      <c r="I92" s="282"/>
      <c r="J92" s="282"/>
      <c r="K92" s="282"/>
      <c r="L92" s="13"/>
    </row>
    <row r="93" spans="1:12" x14ac:dyDescent="0.3">
      <c r="A93" s="13"/>
      <c r="B93" s="227"/>
      <c r="C93" s="227"/>
      <c r="D93" s="227"/>
      <c r="E93" s="227"/>
      <c r="F93" s="228"/>
      <c r="G93" s="228"/>
      <c r="H93" s="228"/>
      <c r="I93" s="228"/>
      <c r="J93" s="228"/>
      <c r="K93" s="228"/>
      <c r="L93" s="13"/>
    </row>
    <row r="94" spans="1:12" x14ac:dyDescent="0.3">
      <c r="B94" s="67"/>
      <c r="C94" s="67"/>
      <c r="D94" s="67"/>
      <c r="E94" s="67"/>
      <c r="F94" s="67"/>
      <c r="G94" s="67"/>
      <c r="H94" s="67"/>
      <c r="I94" s="67"/>
      <c r="J94" s="67"/>
      <c r="K94" s="67"/>
      <c r="L94" s="13"/>
    </row>
    <row r="95" spans="1:12" ht="16.2" x14ac:dyDescent="0.45">
      <c r="A95" s="226" t="s">
        <v>10</v>
      </c>
      <c r="B95" s="67"/>
      <c r="C95" s="67"/>
      <c r="D95" s="67"/>
      <c r="E95" s="67"/>
      <c r="F95" s="67"/>
      <c r="G95" s="67"/>
      <c r="H95" s="67"/>
      <c r="I95" s="67"/>
      <c r="J95" s="67"/>
      <c r="K95" s="67"/>
      <c r="L95" s="13"/>
    </row>
    <row r="96" spans="1:12" x14ac:dyDescent="0.3">
      <c r="A96" s="129" t="s">
        <v>436</v>
      </c>
      <c r="B96" s="67"/>
      <c r="C96" s="67"/>
      <c r="D96" s="67"/>
      <c r="E96" s="67"/>
      <c r="F96" s="67"/>
      <c r="G96" s="67"/>
      <c r="H96" s="67"/>
      <c r="I96" s="67"/>
      <c r="J96" s="67"/>
      <c r="K96" s="67"/>
      <c r="L96" s="13"/>
    </row>
    <row r="97" spans="1:12" x14ac:dyDescent="0.3">
      <c r="A97" s="129" t="s">
        <v>467</v>
      </c>
      <c r="B97" s="67"/>
      <c r="C97" s="67"/>
      <c r="D97" s="67"/>
      <c r="E97" s="67"/>
      <c r="F97" s="67"/>
      <c r="G97" s="67"/>
      <c r="H97" s="67"/>
      <c r="I97" s="67"/>
      <c r="J97" s="67"/>
      <c r="K97" s="67"/>
      <c r="L97" s="13"/>
    </row>
    <row r="98" spans="1:12" x14ac:dyDescent="0.3">
      <c r="A98" s="129"/>
      <c r="B98" s="67"/>
      <c r="C98" s="67"/>
      <c r="D98" s="67"/>
      <c r="E98" s="67"/>
      <c r="F98" s="67"/>
      <c r="G98" s="67"/>
      <c r="H98" s="67"/>
      <c r="I98" s="67"/>
      <c r="J98" s="67"/>
      <c r="K98" s="67"/>
      <c r="L98" s="13"/>
    </row>
    <row r="99" spans="1:12" x14ac:dyDescent="0.3">
      <c r="B99" s="1">
        <v>2018</v>
      </c>
      <c r="C99" s="1">
        <v>2019</v>
      </c>
      <c r="D99" s="1">
        <v>2020</v>
      </c>
      <c r="E99" s="1">
        <v>2021</v>
      </c>
      <c r="F99" s="1">
        <v>2022</v>
      </c>
      <c r="G99" s="119">
        <v>2023</v>
      </c>
      <c r="H99" s="119">
        <v>2024</v>
      </c>
      <c r="I99" s="119">
        <v>2025</v>
      </c>
      <c r="J99" s="119">
        <v>2026</v>
      </c>
      <c r="K99" s="119">
        <v>2027</v>
      </c>
      <c r="L99" s="13"/>
    </row>
    <row r="100" spans="1:12" x14ac:dyDescent="0.3">
      <c r="A100" t="s">
        <v>65</v>
      </c>
      <c r="B100" s="4">
        <f>-'P&amp;L-SOFP-Ratios'!B6</f>
        <v>21736289</v>
      </c>
      <c r="C100" s="4">
        <f>-'P&amp;L-SOFP-Ratios'!C6</f>
        <v>28060534</v>
      </c>
      <c r="D100" s="4">
        <f>-'P&amp;L-SOFP-Ratios'!D6</f>
        <v>29047934</v>
      </c>
      <c r="E100" s="4">
        <f>-'P&amp;L-SOFP-Ratios'!E6</f>
        <v>27990328</v>
      </c>
      <c r="F100" s="4">
        <f>-'P&amp;L-SOFP-Ratios'!F6</f>
        <v>45010323</v>
      </c>
      <c r="G100" s="361">
        <f>-'P&amp;L-SOFP-Ratios'!G6</f>
        <v>48984618.906126283</v>
      </c>
      <c r="H100" s="361">
        <f>-'P&amp;L-SOFP-Ratios'!H6</f>
        <v>55357244.466294162</v>
      </c>
      <c r="I100" s="361">
        <f>-'P&amp;L-SOFP-Ratios'!I6</f>
        <v>63417787.946985133</v>
      </c>
      <c r="J100" s="361">
        <f>-'P&amp;L-SOFP-Ratios'!J6</f>
        <v>73946424.973286226</v>
      </c>
      <c r="K100" s="361">
        <f>-'P&amp;L-SOFP-Ratios'!K6</f>
        <v>85132898.25292702</v>
      </c>
      <c r="L100" s="13"/>
    </row>
    <row r="101" spans="1:12" x14ac:dyDescent="0.3">
      <c r="A101" t="s">
        <v>10</v>
      </c>
      <c r="B101" s="4">
        <f>+'P&amp;L-SOFP-Ratios'!B72</f>
        <v>4486958</v>
      </c>
      <c r="C101" s="4">
        <f>+'P&amp;L-SOFP-Ratios'!C72</f>
        <v>4702611</v>
      </c>
      <c r="D101" s="4">
        <f>+'P&amp;L-SOFP-Ratios'!D72</f>
        <v>5642679</v>
      </c>
      <c r="E101" s="4">
        <f>+'P&amp;L-SOFP-Ratios'!E72</f>
        <v>8087052</v>
      </c>
      <c r="F101" s="4">
        <f>+'P&amp;L-SOFP-Ratios'!F72</f>
        <v>17623386</v>
      </c>
      <c r="G101" s="361">
        <f>+G103*G100</f>
        <v>10497309.202231232</v>
      </c>
      <c r="H101" s="361">
        <f>+H103*H100</f>
        <v>11950094.132828798</v>
      </c>
      <c r="I101" s="361">
        <f>+I103*I100</f>
        <v>14302557.304396152</v>
      </c>
      <c r="J101" s="361">
        <f>+J103*J100</f>
        <v>17139607.140415192</v>
      </c>
      <c r="K101" s="361">
        <f>+K103*K100</f>
        <v>18759572.854043163</v>
      </c>
      <c r="L101" s="13"/>
    </row>
    <row r="102" spans="1:12" x14ac:dyDescent="0.3">
      <c r="A102" t="s">
        <v>437</v>
      </c>
      <c r="B102" s="4">
        <f>+B101/B100</f>
        <v>0.20642704925389979</v>
      </c>
      <c r="C102" s="4">
        <f>+C101/C100</f>
        <v>0.16758807940005704</v>
      </c>
      <c r="D102" s="4">
        <f>+D101/D100</f>
        <v>0.19425405607159532</v>
      </c>
      <c r="E102" s="4">
        <f>+E101/E100</f>
        <v>0.2889230880038276</v>
      </c>
      <c r="F102" s="223">
        <f>+F101/F100</f>
        <v>0.39154098049907349</v>
      </c>
      <c r="G102" s="165">
        <v>0</v>
      </c>
      <c r="H102" s="165">
        <v>0</v>
      </c>
      <c r="I102" s="165">
        <v>0</v>
      </c>
      <c r="J102" s="165">
        <v>0</v>
      </c>
      <c r="K102" s="165">
        <v>0</v>
      </c>
      <c r="L102" s="13"/>
    </row>
    <row r="103" spans="1:12" x14ac:dyDescent="0.3">
      <c r="B103" s="67">
        <v>0.20642704925389979</v>
      </c>
      <c r="C103" s="67">
        <v>0.16758807940005704</v>
      </c>
      <c r="D103" s="67">
        <v>0.19425405607159532</v>
      </c>
      <c r="E103" s="67">
        <v>0.2889230880038276</v>
      </c>
      <c r="F103" s="40">
        <f>+AVERAGE(B103:E103)</f>
        <v>0.21429806818234493</v>
      </c>
      <c r="G103" s="282">
        <f>+AVERAGE(B103:F103)</f>
        <v>0.21429806818234493</v>
      </c>
      <c r="H103" s="282">
        <f>+AVERAGE(C103:G103)</f>
        <v>0.21587227196803399</v>
      </c>
      <c r="I103" s="282">
        <f>+AVERAGE(D103:H103)</f>
        <v>0.22552911048162935</v>
      </c>
      <c r="J103" s="282">
        <f>+AVERAGE(E103:I103)</f>
        <v>0.23178412136363616</v>
      </c>
      <c r="K103" s="282">
        <f>+AVERAGE(F103:J103)</f>
        <v>0.22035632803559788</v>
      </c>
      <c r="L103" s="13"/>
    </row>
    <row r="104" spans="1:12" x14ac:dyDescent="0.3">
      <c r="B104" s="67"/>
      <c r="C104" s="67"/>
      <c r="D104" s="67"/>
      <c r="E104" s="67"/>
      <c r="F104" s="40"/>
      <c r="G104" s="282"/>
      <c r="H104" s="282"/>
      <c r="I104" s="282"/>
      <c r="J104" s="282"/>
      <c r="K104" s="282"/>
      <c r="L104" s="13"/>
    </row>
    <row r="105" spans="1:12" x14ac:dyDescent="0.3">
      <c r="A105" s="13"/>
      <c r="B105" s="227"/>
      <c r="C105" s="227"/>
      <c r="D105" s="227"/>
      <c r="E105" s="227"/>
      <c r="F105" s="13"/>
      <c r="G105" s="13"/>
      <c r="H105" s="13"/>
      <c r="I105" s="13"/>
      <c r="J105" s="13"/>
      <c r="K105" s="13"/>
      <c r="L105" s="13"/>
    </row>
    <row r="106" spans="1:12" x14ac:dyDescent="0.3">
      <c r="L106" s="13"/>
    </row>
    <row r="107" spans="1:12" x14ac:dyDescent="0.3">
      <c r="B107" s="67"/>
      <c r="C107" s="67"/>
      <c r="D107" s="67"/>
      <c r="E107" s="67"/>
      <c r="F107" s="40"/>
      <c r="G107" s="40"/>
      <c r="H107" s="40"/>
      <c r="I107" s="40"/>
      <c r="J107" s="40"/>
      <c r="K107" s="40"/>
      <c r="L107" s="13"/>
    </row>
    <row r="108" spans="1:12" ht="16.2" x14ac:dyDescent="0.45">
      <c r="A108" s="226" t="s">
        <v>96</v>
      </c>
      <c r="B108" s="1">
        <v>2018</v>
      </c>
      <c r="C108" s="1">
        <v>2019</v>
      </c>
      <c r="D108" s="1">
        <v>2020</v>
      </c>
      <c r="E108" s="1">
        <v>2021</v>
      </c>
      <c r="F108" s="1">
        <v>2022</v>
      </c>
      <c r="G108" s="119">
        <v>2023</v>
      </c>
      <c r="H108" s="119">
        <v>2024</v>
      </c>
      <c r="I108" s="119">
        <v>2025</v>
      </c>
      <c r="J108" s="119">
        <v>2026</v>
      </c>
      <c r="K108" s="119">
        <v>2027</v>
      </c>
      <c r="L108" s="13"/>
    </row>
    <row r="109" spans="1:12" x14ac:dyDescent="0.3">
      <c r="A109" s="222" t="s">
        <v>435</v>
      </c>
      <c r="B109" s="4">
        <f>+'P&amp;L-SOFP-Ratios'!B66</f>
        <v>207666</v>
      </c>
      <c r="C109" s="4">
        <f>+'P&amp;L-SOFP-Ratios'!C66</f>
        <v>251932</v>
      </c>
      <c r="D109" s="4">
        <f>+'P&amp;L-SOFP-Ratios'!D66</f>
        <v>377583</v>
      </c>
      <c r="E109" s="4">
        <f>+'P&amp;L-SOFP-Ratios'!E66</f>
        <v>520422</v>
      </c>
      <c r="F109" s="4">
        <f>+'P&amp;L-SOFP-Ratios'!F66</f>
        <v>424817</v>
      </c>
      <c r="G109" s="361">
        <f>+AVERAGE(B109:F109)</f>
        <v>356484</v>
      </c>
      <c r="H109" s="361">
        <f t="shared" ref="H109:K109" si="36">+AVERAGE(C109:G109)</f>
        <v>386247.6</v>
      </c>
      <c r="I109" s="361">
        <f t="shared" si="36"/>
        <v>413110.72000000003</v>
      </c>
      <c r="J109" s="361">
        <f t="shared" si="36"/>
        <v>420216.26400000008</v>
      </c>
      <c r="K109" s="361">
        <f t="shared" si="36"/>
        <v>400175.11680000008</v>
      </c>
      <c r="L109" s="13"/>
    </row>
    <row r="110" spans="1:12" x14ac:dyDescent="0.3">
      <c r="L110" s="13"/>
    </row>
    <row r="111" spans="1:12" x14ac:dyDescent="0.3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</row>
    <row r="112" spans="1:12" x14ac:dyDescent="0.3">
      <c r="L112" s="13"/>
    </row>
    <row r="113" spans="1:12" x14ac:dyDescent="0.3">
      <c r="A113" s="22" t="s">
        <v>438</v>
      </c>
      <c r="L113" s="13"/>
    </row>
    <row r="114" spans="1:12" x14ac:dyDescent="0.3">
      <c r="L114" s="13"/>
    </row>
    <row r="115" spans="1:12" x14ac:dyDescent="0.3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</row>
    <row r="116" spans="1:12" x14ac:dyDescent="0.3">
      <c r="L116" s="13"/>
    </row>
    <row r="117" spans="1:12" x14ac:dyDescent="0.3">
      <c r="A117" s="96" t="s">
        <v>439</v>
      </c>
      <c r="L117" s="13"/>
    </row>
    <row r="118" spans="1:12" x14ac:dyDescent="0.3">
      <c r="A118" t="s">
        <v>441</v>
      </c>
      <c r="L118" s="13"/>
    </row>
    <row r="119" spans="1:12" x14ac:dyDescent="0.3">
      <c r="A119" s="96"/>
      <c r="L119" s="13"/>
    </row>
    <row r="120" spans="1:12" x14ac:dyDescent="0.3">
      <c r="A120" s="96"/>
      <c r="B120" s="1">
        <v>2018</v>
      </c>
      <c r="C120" s="1">
        <v>2019</v>
      </c>
      <c r="D120" s="1">
        <v>2020</v>
      </c>
      <c r="E120" s="1">
        <v>2021</v>
      </c>
      <c r="F120" s="1">
        <v>2022</v>
      </c>
      <c r="G120" s="119">
        <v>2023</v>
      </c>
      <c r="H120" s="119">
        <v>2024</v>
      </c>
      <c r="I120" s="119">
        <v>2025</v>
      </c>
      <c r="J120" s="119">
        <v>2026</v>
      </c>
      <c r="K120" s="119">
        <v>2027</v>
      </c>
      <c r="L120" s="13"/>
    </row>
    <row r="121" spans="1:12" x14ac:dyDescent="0.3">
      <c r="A121" t="s">
        <v>440</v>
      </c>
      <c r="B121" s="4">
        <f>+'P&amp;L-SOFP-Ratios'!B47</f>
        <v>789378</v>
      </c>
      <c r="C121" s="4">
        <f>+'P&amp;L-SOFP-Ratios'!C47</f>
        <v>553370</v>
      </c>
      <c r="D121" s="4">
        <f>+'P&amp;L-SOFP-Ratios'!D47</f>
        <v>967425</v>
      </c>
      <c r="E121" s="4">
        <f>+'P&amp;L-SOFP-Ratios'!E47</f>
        <v>1679622</v>
      </c>
      <c r="F121" s="4">
        <f>+'P&amp;L-SOFP-Ratios'!F47</f>
        <v>1822146</v>
      </c>
      <c r="G121" s="361">
        <f>+AVERAGE(B121:F121)</f>
        <v>1162388.2</v>
      </c>
      <c r="H121" s="361">
        <f t="shared" ref="H121:K121" si="37">+AVERAGE(C121:G121)</f>
        <v>1236990.24</v>
      </c>
      <c r="I121" s="361">
        <f t="shared" si="37"/>
        <v>1373714.2880000002</v>
      </c>
      <c r="J121" s="361">
        <f t="shared" si="37"/>
        <v>1454972.1455999999</v>
      </c>
      <c r="K121" s="361">
        <f t="shared" si="37"/>
        <v>1410042.17472</v>
      </c>
      <c r="L121" s="13"/>
    </row>
    <row r="122" spans="1:12" x14ac:dyDescent="0.3">
      <c r="A122" t="s">
        <v>442</v>
      </c>
      <c r="B122" s="4">
        <f>+'P&amp;L Working'!B67</f>
        <v>65133</v>
      </c>
      <c r="C122" s="4">
        <f>+'P&amp;L Working'!C67</f>
        <v>101899</v>
      </c>
      <c r="D122" s="4">
        <f>+'P&amp;L Working'!D67</f>
        <v>120065</v>
      </c>
      <c r="E122" s="4">
        <f>+'P&amp;L Working'!E67</f>
        <v>186842</v>
      </c>
      <c r="F122" s="4">
        <f>+'P&amp;L Working'!F67</f>
        <v>154745</v>
      </c>
      <c r="G122" s="361">
        <f>+G121*G123</f>
        <v>136447.47906151362</v>
      </c>
      <c r="H122" s="361">
        <f t="shared" ref="H122:K122" si="38">+H121*H123</f>
        <v>153832.35067326773</v>
      </c>
      <c r="I122" s="361">
        <f t="shared" si="38"/>
        <v>154410.5875429752</v>
      </c>
      <c r="J122" s="361">
        <f t="shared" si="38"/>
        <v>160138.44511104253</v>
      </c>
      <c r="K122" s="361">
        <f t="shared" si="38"/>
        <v>154861.2261803259</v>
      </c>
      <c r="L122" s="13"/>
    </row>
    <row r="123" spans="1:12" x14ac:dyDescent="0.3">
      <c r="A123" t="s">
        <v>443</v>
      </c>
      <c r="B123" s="67">
        <f>+B122/B121</f>
        <v>8.251180043021214E-2</v>
      </c>
      <c r="C123" s="67">
        <f t="shared" ref="C123:F123" si="39">+C122/C121</f>
        <v>0.18414261705549631</v>
      </c>
      <c r="D123" s="67">
        <f t="shared" si="39"/>
        <v>0.12410781197508851</v>
      </c>
      <c r="E123" s="67">
        <f t="shared" si="39"/>
        <v>0.11124050530416962</v>
      </c>
      <c r="F123" s="67">
        <f t="shared" si="39"/>
        <v>8.492458891878038E-2</v>
      </c>
      <c r="G123" s="390">
        <f>+AVERAGE(B123:F123)</f>
        <v>0.11738546473674941</v>
      </c>
      <c r="H123" s="390">
        <f t="shared" ref="H123:K123" si="40">+AVERAGE(C123:G123)</f>
        <v>0.12436019759805683</v>
      </c>
      <c r="I123" s="390">
        <f t="shared" si="40"/>
        <v>0.11240371370656894</v>
      </c>
      <c r="J123" s="390">
        <f t="shared" si="40"/>
        <v>0.11006289405286504</v>
      </c>
      <c r="K123" s="390">
        <f t="shared" si="40"/>
        <v>0.10982737180260412</v>
      </c>
      <c r="L123" s="13"/>
    </row>
    <row r="124" spans="1:12" x14ac:dyDescent="0.3">
      <c r="G124" s="168"/>
      <c r="H124" s="168"/>
      <c r="I124" s="168"/>
      <c r="J124" s="168"/>
      <c r="K124" s="168"/>
      <c r="L124" s="13"/>
    </row>
    <row r="125" spans="1:12" x14ac:dyDescent="0.3">
      <c r="A125" s="13"/>
      <c r="B125" s="13"/>
      <c r="C125" s="13"/>
      <c r="D125" s="13"/>
      <c r="E125" s="13"/>
      <c r="F125" s="13"/>
      <c r="G125" s="15"/>
      <c r="H125" s="13"/>
      <c r="I125" s="13"/>
      <c r="J125" s="13"/>
      <c r="K125" s="13"/>
      <c r="L125" s="13"/>
    </row>
    <row r="126" spans="1:12" x14ac:dyDescent="0.3">
      <c r="L126" s="13"/>
    </row>
    <row r="127" spans="1:12" x14ac:dyDescent="0.3">
      <c r="A127" s="96" t="s">
        <v>463</v>
      </c>
      <c r="L127" s="13"/>
    </row>
    <row r="128" spans="1:12" x14ac:dyDescent="0.3">
      <c r="A128" t="s">
        <v>465</v>
      </c>
      <c r="L128" s="13"/>
    </row>
    <row r="129" spans="1:12" x14ac:dyDescent="0.3">
      <c r="A129" t="s">
        <v>466</v>
      </c>
      <c r="L129" s="13"/>
    </row>
    <row r="130" spans="1:12" x14ac:dyDescent="0.3">
      <c r="B130" s="1">
        <v>2018</v>
      </c>
      <c r="C130" s="1">
        <v>2019</v>
      </c>
      <c r="D130" s="1">
        <v>2020</v>
      </c>
      <c r="E130" s="1">
        <v>2021</v>
      </c>
      <c r="F130" s="1">
        <v>2022</v>
      </c>
      <c r="G130" s="119">
        <v>2023</v>
      </c>
      <c r="H130" s="119">
        <v>2024</v>
      </c>
      <c r="I130" s="119">
        <v>2025</v>
      </c>
      <c r="J130" s="119">
        <v>2026</v>
      </c>
      <c r="K130" s="119">
        <v>2027</v>
      </c>
      <c r="L130" s="13"/>
    </row>
    <row r="131" spans="1:12" x14ac:dyDescent="0.3">
      <c r="A131" t="s">
        <v>87</v>
      </c>
      <c r="B131" s="23" t="str">
        <f>+'P&amp;L-SOFP-Ratios'!B45</f>
        <v>Nil</v>
      </c>
      <c r="C131" s="23">
        <f>+'P&amp;L-SOFP-Ratios'!C45</f>
        <v>8766</v>
      </c>
      <c r="D131" s="23">
        <f>+'P&amp;L-SOFP-Ratios'!D45</f>
        <v>18219</v>
      </c>
      <c r="E131" s="23">
        <f>+'P&amp;L-SOFP-Ratios'!E45</f>
        <v>6170</v>
      </c>
      <c r="F131" s="23" t="str">
        <f>+'P&amp;L-SOFP-Ratios'!F45</f>
        <v>Nil</v>
      </c>
      <c r="G131" s="175">
        <f>+G132*G133</f>
        <v>16333.31643477029</v>
      </c>
      <c r="H131" s="175">
        <f t="shared" ref="H131:K131" si="41">+H132*H133</f>
        <v>18622.895748708885</v>
      </c>
      <c r="I131" s="175">
        <f t="shared" si="41"/>
        <v>21864.843717432443</v>
      </c>
      <c r="J131" s="175">
        <f t="shared" si="41"/>
        <v>21707.015671677633</v>
      </c>
      <c r="K131" s="175">
        <f t="shared" si="41"/>
        <v>26769.634549652124</v>
      </c>
      <c r="L131" s="13"/>
    </row>
    <row r="132" spans="1:12" x14ac:dyDescent="0.3">
      <c r="A132" t="s">
        <v>464</v>
      </c>
      <c r="B132" s="4">
        <f>+'P&amp;L-SOFP-Ratios'!B16</f>
        <v>1817716</v>
      </c>
      <c r="C132" s="4">
        <f>+'P&amp;L-SOFP-Ratios'!C16</f>
        <v>2257062</v>
      </c>
      <c r="D132" s="4">
        <f>+'P&amp;L-SOFP-Ratios'!D16</f>
        <v>2811964</v>
      </c>
      <c r="E132" s="4">
        <f>+'P&amp;L-SOFP-Ratios'!E16</f>
        <v>2599337</v>
      </c>
      <c r="F132" s="4">
        <f>+'P&amp;L-SOFP-Ratios'!F16</f>
        <v>2863720</v>
      </c>
      <c r="G132" s="361">
        <f>+'P&amp;L-SOFP-Ratios'!G16</f>
        <v>3847178.4990257667</v>
      </c>
      <c r="H132" s="361">
        <f>+'P&amp;L-SOFP-Ratios'!H16</f>
        <v>4386470.0962697538</v>
      </c>
      <c r="I132" s="361">
        <f>+'P&amp;L-SOFP-Ratios'!I16</f>
        <v>5042674.7554669278</v>
      </c>
      <c r="J132" s="361">
        <f>+'P&amp;L-SOFP-Ratios'!J16</f>
        <v>5712107.1650899928</v>
      </c>
      <c r="K132" s="361">
        <f>+'P&amp;L-SOFP-Ratios'!K16</f>
        <v>6439961.923417734</v>
      </c>
      <c r="L132" s="13"/>
    </row>
    <row r="133" spans="1:12" x14ac:dyDescent="0.3">
      <c r="B133" s="233" t="s">
        <v>82</v>
      </c>
      <c r="C133" s="233">
        <f t="shared" ref="C133:E133" si="42">+C131/C132</f>
        <v>3.883810014966359E-3</v>
      </c>
      <c r="D133" s="233">
        <f t="shared" si="42"/>
        <v>6.4791014394209884E-3</v>
      </c>
      <c r="E133" s="233">
        <f t="shared" si="42"/>
        <v>2.3736822120409935E-3</v>
      </c>
      <c r="F133" s="233" t="s">
        <v>82</v>
      </c>
      <c r="G133" s="282">
        <f>+AVERAGE(B133:F133)</f>
        <v>4.2455312221427802E-3</v>
      </c>
      <c r="H133" s="282">
        <f t="shared" ref="H133:K133" si="43">+AVERAGE(C133:G133)</f>
        <v>4.2455312221427802E-3</v>
      </c>
      <c r="I133" s="282">
        <f t="shared" si="43"/>
        <v>4.3359615239368854E-3</v>
      </c>
      <c r="J133" s="282">
        <f t="shared" si="43"/>
        <v>3.8001765450658602E-3</v>
      </c>
      <c r="K133" s="282">
        <f t="shared" si="43"/>
        <v>4.1568001283220765E-3</v>
      </c>
      <c r="L133" s="13"/>
    </row>
    <row r="134" spans="1:12" x14ac:dyDescent="0.3">
      <c r="G134" s="168"/>
      <c r="H134" s="168"/>
      <c r="I134" s="168"/>
      <c r="J134" s="168"/>
      <c r="K134" s="168"/>
      <c r="L134" s="13"/>
    </row>
    <row r="135" spans="1:12" x14ac:dyDescent="0.3">
      <c r="F135" s="40"/>
      <c r="G135" s="168"/>
      <c r="H135" s="168"/>
      <c r="I135" s="168"/>
      <c r="J135" s="168"/>
      <c r="K135" s="168"/>
      <c r="L135" s="13"/>
    </row>
    <row r="136" spans="1:12" x14ac:dyDescent="0.3">
      <c r="G136" s="168"/>
      <c r="H136" s="168"/>
      <c r="I136" s="168"/>
      <c r="J136" s="168"/>
      <c r="K136" s="168"/>
      <c r="L136" s="13"/>
    </row>
    <row r="137" spans="1:12" x14ac:dyDescent="0.3">
      <c r="A137" t="s">
        <v>98</v>
      </c>
      <c r="B137" s="23">
        <f>+'P&amp;L-SOFP-Ratios'!B71</f>
        <v>14647</v>
      </c>
      <c r="C137" s="23" t="str">
        <f>+'P&amp;L-SOFP-Ratios'!C71</f>
        <v>Nil</v>
      </c>
      <c r="D137" s="23">
        <f>+'P&amp;L-SOFP-Ratios'!D71</f>
        <v>91594</v>
      </c>
      <c r="E137" s="23">
        <f>+'P&amp;L-SOFP-Ratios'!E71</f>
        <v>126421</v>
      </c>
      <c r="F137" s="143">
        <f>+'P&amp;L-SOFP-Ratios'!F71</f>
        <v>232725</v>
      </c>
      <c r="G137" s="175">
        <f>+G139*G140</f>
        <v>138870.81383229789</v>
      </c>
      <c r="H137" s="175">
        <f>+H139*H140</f>
        <v>158337.51209471474</v>
      </c>
      <c r="I137" s="175">
        <f>+I139*I140</f>
        <v>182024.3971941022</v>
      </c>
      <c r="J137" s="175">
        <f>+J139*J140</f>
        <v>210214.46268705986</v>
      </c>
      <c r="K137" s="175">
        <f>+K139*K140</f>
        <v>221758.16309152884</v>
      </c>
      <c r="L137" s="13"/>
    </row>
    <row r="138" spans="1:12" x14ac:dyDescent="0.3">
      <c r="B138" s="23">
        <v>0</v>
      </c>
      <c r="C138" s="23">
        <v>0</v>
      </c>
      <c r="D138" s="23">
        <v>0</v>
      </c>
      <c r="E138" s="23">
        <v>0</v>
      </c>
      <c r="F138" s="23">
        <f>+AVERAGE(B137:E137)</f>
        <v>77554</v>
      </c>
      <c r="G138" s="175"/>
      <c r="H138" s="175"/>
      <c r="I138" s="175"/>
      <c r="J138" s="175"/>
      <c r="K138" s="175"/>
      <c r="L138" s="13"/>
    </row>
    <row r="139" spans="1:12" x14ac:dyDescent="0.3">
      <c r="A139" t="s">
        <v>464</v>
      </c>
      <c r="B139" s="4">
        <f>+'P&amp;L-SOFP-Ratios'!B16</f>
        <v>1817716</v>
      </c>
      <c r="C139" s="4">
        <f>+'P&amp;L-SOFP-Ratios'!C16</f>
        <v>2257062</v>
      </c>
      <c r="D139" s="4">
        <f>+'P&amp;L-SOFP-Ratios'!D16</f>
        <v>2811964</v>
      </c>
      <c r="E139" s="4">
        <f>+'P&amp;L-SOFP-Ratios'!E16</f>
        <v>2599337</v>
      </c>
      <c r="F139" s="4">
        <f>+'P&amp;L-SOFP-Ratios'!F16</f>
        <v>2863720</v>
      </c>
      <c r="G139" s="361">
        <f>+'P&amp;L-SOFP-Ratios'!G16</f>
        <v>3847178.4990257667</v>
      </c>
      <c r="H139" s="361">
        <f>+'P&amp;L-SOFP-Ratios'!H16</f>
        <v>4386470.0962697538</v>
      </c>
      <c r="I139" s="361">
        <f>+'P&amp;L-SOFP-Ratios'!I16</f>
        <v>5042674.7554669278</v>
      </c>
      <c r="J139" s="361">
        <f>+'P&amp;L-SOFP-Ratios'!J16</f>
        <v>5712107.1650899928</v>
      </c>
      <c r="K139" s="361">
        <f>+'P&amp;L-SOFP-Ratios'!K16</f>
        <v>6439961.923417734</v>
      </c>
      <c r="L139" s="13"/>
    </row>
    <row r="140" spans="1:12" x14ac:dyDescent="0.3">
      <c r="B140" s="23" t="s">
        <v>82</v>
      </c>
      <c r="C140" s="23" t="s">
        <v>82</v>
      </c>
      <c r="D140" s="67">
        <f>+D137/D139</f>
        <v>3.2572963238505184E-2</v>
      </c>
      <c r="E140" s="67">
        <f>+E137/E139</f>
        <v>4.8635863683700882E-2</v>
      </c>
      <c r="F140" s="67">
        <f>+F138/F139</f>
        <v>2.708155825290182E-2</v>
      </c>
      <c r="G140" s="390">
        <f>+AVERAGE(B140:F140)</f>
        <v>3.6096795058369296E-2</v>
      </c>
      <c r="H140" s="390">
        <f t="shared" ref="H140:K140" si="44">+AVERAGE(C140:G140)</f>
        <v>3.6096795058369296E-2</v>
      </c>
      <c r="I140" s="390">
        <f t="shared" si="44"/>
        <v>3.6096795058369296E-2</v>
      </c>
      <c r="J140" s="390">
        <f t="shared" si="44"/>
        <v>3.6801561422342116E-2</v>
      </c>
      <c r="K140" s="390">
        <f t="shared" si="44"/>
        <v>3.4434700970070363E-2</v>
      </c>
      <c r="L140" s="13"/>
    </row>
    <row r="141" spans="1:12" x14ac:dyDescent="0.3">
      <c r="L141" s="13"/>
    </row>
    <row r="142" spans="1:12" x14ac:dyDescent="0.3">
      <c r="L142" s="13"/>
    </row>
    <row r="143" spans="1:12" x14ac:dyDescent="0.3">
      <c r="L143" s="13"/>
    </row>
    <row r="144" spans="1:12" x14ac:dyDescent="0.3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</row>
    <row r="145" spans="1:12" ht="15.6" x14ac:dyDescent="0.3">
      <c r="A145" s="239" t="s">
        <v>474</v>
      </c>
      <c r="B145" s="240"/>
      <c r="C145" s="240"/>
      <c r="D145" s="240"/>
      <c r="E145" s="240"/>
      <c r="F145" s="240"/>
      <c r="G145" s="240"/>
      <c r="H145" s="240"/>
      <c r="I145" s="240"/>
      <c r="J145" s="240"/>
      <c r="K145" s="240"/>
      <c r="L145" s="13"/>
    </row>
    <row r="146" spans="1:12" x14ac:dyDescent="0.3">
      <c r="A146" s="240"/>
      <c r="C146" s="240"/>
      <c r="D146" s="240"/>
      <c r="E146" s="240"/>
      <c r="F146" s="240"/>
      <c r="G146" s="240"/>
      <c r="H146" s="240"/>
      <c r="I146" s="240"/>
      <c r="J146" s="240"/>
      <c r="K146" s="240"/>
      <c r="L146" s="13"/>
    </row>
    <row r="147" spans="1:12" x14ac:dyDescent="0.3">
      <c r="A147" s="240" t="s">
        <v>453</v>
      </c>
      <c r="C147" s="240"/>
      <c r="D147" s="240"/>
      <c r="E147" s="240"/>
      <c r="F147" s="240"/>
      <c r="G147" s="240"/>
      <c r="H147" s="240"/>
      <c r="I147" s="240"/>
      <c r="J147" s="240"/>
      <c r="K147" s="240"/>
      <c r="L147" s="13"/>
    </row>
    <row r="148" spans="1:12" x14ac:dyDescent="0.3">
      <c r="A148" t="s">
        <v>475</v>
      </c>
      <c r="F148" s="240"/>
      <c r="G148" s="240"/>
      <c r="H148" s="240"/>
      <c r="I148" s="240"/>
      <c r="J148" s="240"/>
      <c r="K148" s="240"/>
      <c r="L148" s="13"/>
    </row>
    <row r="149" spans="1:12" x14ac:dyDescent="0.3">
      <c r="A149" t="s">
        <v>476</v>
      </c>
      <c r="F149" s="240"/>
      <c r="G149" s="240"/>
      <c r="H149" s="240"/>
      <c r="I149" s="240"/>
      <c r="J149" s="240"/>
      <c r="K149" s="240"/>
      <c r="L149" s="13"/>
    </row>
    <row r="150" spans="1:12" x14ac:dyDescent="0.3">
      <c r="A150" t="s">
        <v>477</v>
      </c>
      <c r="F150" s="240"/>
      <c r="G150" s="240"/>
      <c r="H150" s="240"/>
      <c r="I150" s="240"/>
      <c r="J150" s="240"/>
      <c r="K150" s="240"/>
      <c r="L150" s="13"/>
    </row>
    <row r="151" spans="1:12" x14ac:dyDescent="0.3">
      <c r="A151" t="s">
        <v>478</v>
      </c>
      <c r="B151" s="240"/>
      <c r="F151" s="240"/>
      <c r="G151" s="240"/>
      <c r="H151" s="240"/>
      <c r="I151" s="240"/>
      <c r="J151" s="240"/>
      <c r="K151" s="240"/>
      <c r="L151" s="13"/>
    </row>
    <row r="152" spans="1:12" x14ac:dyDescent="0.3">
      <c r="B152" s="240"/>
      <c r="F152" s="240"/>
      <c r="G152" s="240"/>
      <c r="H152" s="240"/>
      <c r="I152" s="240"/>
      <c r="J152" s="240"/>
      <c r="K152" s="240"/>
      <c r="L152" s="13"/>
    </row>
    <row r="153" spans="1:12" x14ac:dyDescent="0.3">
      <c r="B153" s="1">
        <v>2018</v>
      </c>
      <c r="C153" s="1">
        <v>2019</v>
      </c>
      <c r="D153" s="1">
        <v>2020</v>
      </c>
      <c r="E153" s="1">
        <v>2021</v>
      </c>
      <c r="F153" s="1">
        <v>2022</v>
      </c>
      <c r="G153" s="119">
        <v>2023</v>
      </c>
      <c r="H153" s="119">
        <v>2024</v>
      </c>
      <c r="I153" s="119">
        <v>2025</v>
      </c>
      <c r="J153" s="119">
        <v>2026</v>
      </c>
      <c r="K153" s="119">
        <v>2027</v>
      </c>
      <c r="L153" s="13"/>
    </row>
    <row r="154" spans="1:12" x14ac:dyDescent="0.3">
      <c r="A154" t="s">
        <v>479</v>
      </c>
      <c r="B154" s="74">
        <v>115181</v>
      </c>
      <c r="C154" s="74">
        <f t="shared" ref="C154:K154" si="45">B160</f>
        <v>192934</v>
      </c>
      <c r="D154" s="74">
        <f t="shared" si="45"/>
        <v>427245</v>
      </c>
      <c r="E154" s="74">
        <f t="shared" si="45"/>
        <v>391335</v>
      </c>
      <c r="F154" s="74">
        <f t="shared" si="45"/>
        <v>353762</v>
      </c>
      <c r="G154" s="175">
        <f t="shared" si="45"/>
        <v>487151</v>
      </c>
      <c r="H154" s="175">
        <f t="shared" si="45"/>
        <v>458961.9</v>
      </c>
      <c r="I154" s="175">
        <f t="shared" si="45"/>
        <v>434517.10000000003</v>
      </c>
      <c r="J154" s="175">
        <f t="shared" si="45"/>
        <v>406921.9266666667</v>
      </c>
      <c r="K154" s="175">
        <f t="shared" si="45"/>
        <v>378570.10311111115</v>
      </c>
      <c r="L154" s="13"/>
    </row>
    <row r="155" spans="1:12" x14ac:dyDescent="0.3">
      <c r="A155" s="241" t="s">
        <v>480</v>
      </c>
      <c r="B155" s="74">
        <v>70326</v>
      </c>
      <c r="C155" s="401">
        <v>203762</v>
      </c>
      <c r="D155" s="401">
        <v>-38909</v>
      </c>
      <c r="E155" s="401">
        <v>-47153</v>
      </c>
      <c r="F155" s="401">
        <v>-48062</v>
      </c>
      <c r="G155" s="425">
        <v>-48062</v>
      </c>
      <c r="H155" s="425">
        <v>-48062</v>
      </c>
      <c r="I155" s="425">
        <v>-48062</v>
      </c>
      <c r="J155" s="425">
        <v>-48062</v>
      </c>
      <c r="K155" s="425">
        <v>-48062</v>
      </c>
      <c r="L155" s="13"/>
    </row>
    <row r="156" spans="1:12" x14ac:dyDescent="0.3">
      <c r="A156" s="241" t="s">
        <v>481</v>
      </c>
      <c r="B156" s="399">
        <f>+B155/'P&amp;L-SOFP-Ratios'!B18</f>
        <v>4.4060762577109155E-2</v>
      </c>
      <c r="C156" s="399">
        <f>+C155/'P&amp;L-SOFP-Ratios'!C18</f>
        <v>0.1096250800955713</v>
      </c>
      <c r="D156" s="399">
        <f>+D155/'P&amp;L-SOFP-Ratios'!D18</f>
        <v>-1.6322368134025565E-2</v>
      </c>
      <c r="E156" s="399">
        <f>+E155/'P&amp;L-SOFP-Ratios'!E18</f>
        <v>-2.2038210844820671E-2</v>
      </c>
      <c r="F156" s="399">
        <f>+F155/'P&amp;L-SOFP-Ratios'!F18</f>
        <v>-1.8987456790123456E-2</v>
      </c>
      <c r="G156" s="426">
        <v>-0.02</v>
      </c>
      <c r="H156" s="426">
        <v>-0.02</v>
      </c>
      <c r="I156" s="426">
        <v>-0.02</v>
      </c>
      <c r="J156" s="426">
        <v>-0.02</v>
      </c>
      <c r="K156" s="426">
        <v>-0.02</v>
      </c>
      <c r="L156" s="13"/>
    </row>
    <row r="157" spans="1:12" x14ac:dyDescent="0.3">
      <c r="A157" s="241" t="s">
        <v>254</v>
      </c>
      <c r="B157" s="74">
        <v>2430</v>
      </c>
      <c r="C157" s="401">
        <v>35418</v>
      </c>
      <c r="D157" s="401">
        <v>28695</v>
      </c>
      <c r="E157" s="401">
        <v>18063</v>
      </c>
      <c r="F157" s="401">
        <v>153793</v>
      </c>
      <c r="G157" s="425"/>
      <c r="H157" s="425"/>
      <c r="I157" s="425"/>
      <c r="J157" s="425"/>
      <c r="K157" s="425"/>
      <c r="L157" s="13"/>
    </row>
    <row r="158" spans="1:12" x14ac:dyDescent="0.3">
      <c r="A158" s="241" t="s">
        <v>482</v>
      </c>
      <c r="B158" s="74">
        <f t="shared" ref="B158:E158" si="46">B157</f>
        <v>2430</v>
      </c>
      <c r="C158" s="74">
        <f t="shared" si="46"/>
        <v>35418</v>
      </c>
      <c r="D158" s="74">
        <f t="shared" si="46"/>
        <v>28695</v>
      </c>
      <c r="E158" s="74">
        <f t="shared" si="46"/>
        <v>18063</v>
      </c>
      <c r="F158" s="401">
        <f>AVERAGE(B158:E158)</f>
        <v>21151.5</v>
      </c>
      <c r="G158" s="425">
        <f t="shared" ref="G158:K158" si="47">AVERAGE(B158:F158)</f>
        <v>21151.5</v>
      </c>
      <c r="H158" s="425">
        <f t="shared" si="47"/>
        <v>24895.8</v>
      </c>
      <c r="I158" s="425">
        <f t="shared" si="47"/>
        <v>22791.360000000001</v>
      </c>
      <c r="J158" s="425">
        <f t="shared" si="47"/>
        <v>21610.632000000001</v>
      </c>
      <c r="K158" s="425">
        <f t="shared" si="47"/>
        <v>22320.1584</v>
      </c>
      <c r="L158" s="13"/>
    </row>
    <row r="159" spans="1:12" x14ac:dyDescent="0.3">
      <c r="A159" s="241" t="s">
        <v>483</v>
      </c>
      <c r="B159" s="74">
        <v>4997</v>
      </c>
      <c r="C159" s="401">
        <v>-4869</v>
      </c>
      <c r="D159" s="401">
        <v>-25696</v>
      </c>
      <c r="E159" s="401">
        <v>-8483</v>
      </c>
      <c r="F159" s="401">
        <v>27658</v>
      </c>
      <c r="G159" s="425">
        <f>AVERAGE(B159:F159)</f>
        <v>-1278.5999999999999</v>
      </c>
      <c r="H159" s="425">
        <f t="shared" ref="H159:K159" si="48">AVERAGE(B159:G159)</f>
        <v>-1278.6000000000001</v>
      </c>
      <c r="I159" s="425">
        <f t="shared" si="48"/>
        <v>-2324.5333333333333</v>
      </c>
      <c r="J159" s="425">
        <f t="shared" si="48"/>
        <v>-1900.4555555555555</v>
      </c>
      <c r="K159" s="425">
        <f t="shared" si="48"/>
        <v>2065.468518518519</v>
      </c>
      <c r="L159" s="13"/>
    </row>
    <row r="160" spans="1:12" ht="15" thickBot="1" x14ac:dyDescent="0.35">
      <c r="A160" t="s">
        <v>484</v>
      </c>
      <c r="B160" s="402">
        <f t="shared" ref="B160:F160" si="49">SUM(B154:B159)-B156-B158</f>
        <v>192934</v>
      </c>
      <c r="C160" s="402">
        <f t="shared" si="49"/>
        <v>427245</v>
      </c>
      <c r="D160" s="402">
        <f t="shared" si="49"/>
        <v>391335</v>
      </c>
      <c r="E160" s="402">
        <f t="shared" si="49"/>
        <v>353762</v>
      </c>
      <c r="F160" s="402">
        <f t="shared" si="49"/>
        <v>487151</v>
      </c>
      <c r="G160" s="427">
        <f>SUM(G154:G159)-G156</f>
        <v>458961.9</v>
      </c>
      <c r="H160" s="427">
        <f t="shared" ref="H160:K160" si="50">SUM(H154:H159)-H156</f>
        <v>434517.10000000003</v>
      </c>
      <c r="I160" s="427">
        <f t="shared" si="50"/>
        <v>406921.9266666667</v>
      </c>
      <c r="J160" s="427">
        <f t="shared" si="50"/>
        <v>378570.10311111115</v>
      </c>
      <c r="K160" s="427">
        <f t="shared" si="50"/>
        <v>354893.73002962966</v>
      </c>
      <c r="L160" s="13"/>
    </row>
    <row r="161" spans="1:12" ht="15" thickTop="1" x14ac:dyDescent="0.3">
      <c r="B161" s="352"/>
      <c r="C161" s="352"/>
      <c r="D161" s="352"/>
      <c r="E161" s="352"/>
      <c r="F161" s="352"/>
      <c r="G161" s="165"/>
      <c r="H161" s="165"/>
      <c r="I161" s="165"/>
      <c r="J161" s="165"/>
      <c r="K161" s="165"/>
      <c r="L161" s="13"/>
    </row>
    <row r="162" spans="1:12" x14ac:dyDescent="0.3">
      <c r="A162" s="91" t="s">
        <v>83</v>
      </c>
      <c r="B162" s="352">
        <v>-125070</v>
      </c>
      <c r="C162" s="352">
        <v>-111021</v>
      </c>
      <c r="D162" s="352">
        <v>-256257</v>
      </c>
      <c r="E162" s="352">
        <v>-273228</v>
      </c>
      <c r="F162" s="352">
        <v>-431633</v>
      </c>
      <c r="G162" s="165">
        <f>G165*G163</f>
        <v>-295692.52207870287</v>
      </c>
      <c r="H162" s="165">
        <f>H165*H163</f>
        <v>-279943.62317509128</v>
      </c>
      <c r="I162" s="165">
        <f>I165*I163</f>
        <v>-261894.51731637589</v>
      </c>
      <c r="J162" s="165">
        <f>J165*J163</f>
        <v>-267859.75461356866</v>
      </c>
      <c r="K162" s="165">
        <f>K165*K163</f>
        <v>-254226.23769185794</v>
      </c>
      <c r="L162" s="13"/>
    </row>
    <row r="163" spans="1:12" x14ac:dyDescent="0.3">
      <c r="A163" s="91" t="s">
        <v>485</v>
      </c>
      <c r="B163" s="403">
        <f t="shared" ref="B163:F163" si="51">B162/B165</f>
        <v>-0.64825277037743478</v>
      </c>
      <c r="C163" s="403">
        <f t="shared" si="51"/>
        <v>-0.25985324579573782</v>
      </c>
      <c r="D163" s="403">
        <f t="shared" si="51"/>
        <v>-0.65482770516309552</v>
      </c>
      <c r="E163" s="403">
        <f t="shared" si="51"/>
        <v>-0.77234977188052989</v>
      </c>
      <c r="F163" s="403">
        <f t="shared" si="51"/>
        <v>-0.88603533606622997</v>
      </c>
      <c r="G163" s="428">
        <f>AVERAGE(B163:F163)</f>
        <v>-0.64426376585660561</v>
      </c>
      <c r="H163" s="428">
        <f t="shared" ref="H163:K163" si="52">AVERAGE(B163:G163)</f>
        <v>-0.64426376585660561</v>
      </c>
      <c r="I163" s="428">
        <f t="shared" si="52"/>
        <v>-0.64359893176980076</v>
      </c>
      <c r="J163" s="428">
        <f t="shared" si="52"/>
        <v>-0.70755654609881125</v>
      </c>
      <c r="K163" s="428">
        <f t="shared" si="52"/>
        <v>-0.71634468625476388</v>
      </c>
      <c r="L163" s="13"/>
    </row>
    <row r="164" spans="1:12" x14ac:dyDescent="0.3">
      <c r="A164" s="91" t="s">
        <v>95</v>
      </c>
      <c r="B164" s="352">
        <v>318004</v>
      </c>
      <c r="C164" s="352">
        <v>538266</v>
      </c>
      <c r="D164" s="352">
        <v>647592</v>
      </c>
      <c r="E164" s="352">
        <v>626990</v>
      </c>
      <c r="F164" s="352">
        <v>918784</v>
      </c>
      <c r="G164" s="165">
        <f>G165-G162</f>
        <v>754654.42207870283</v>
      </c>
      <c r="H164" s="165">
        <f>H165-H162</f>
        <v>714460.72317509132</v>
      </c>
      <c r="I164" s="165">
        <f>I165-I162</f>
        <v>668816.44398304261</v>
      </c>
      <c r="J164" s="165">
        <f>J165-J162</f>
        <v>646429.85772467987</v>
      </c>
      <c r="K164" s="165">
        <f>K165-K162</f>
        <v>609119.96772148763</v>
      </c>
      <c r="L164" s="13"/>
    </row>
    <row r="165" spans="1:12" ht="15" thickBot="1" x14ac:dyDescent="0.35">
      <c r="A165" s="91" t="s">
        <v>486</v>
      </c>
      <c r="B165" s="402">
        <f t="shared" ref="B165:F165" si="53">B162+B164</f>
        <v>192934</v>
      </c>
      <c r="C165" s="402">
        <f t="shared" si="53"/>
        <v>427245</v>
      </c>
      <c r="D165" s="402">
        <f t="shared" si="53"/>
        <v>391335</v>
      </c>
      <c r="E165" s="402">
        <f t="shared" si="53"/>
        <v>353762</v>
      </c>
      <c r="F165" s="402">
        <f t="shared" si="53"/>
        <v>487151</v>
      </c>
      <c r="G165" s="427">
        <f>G160</f>
        <v>458961.9</v>
      </c>
      <c r="H165" s="427">
        <f>H160</f>
        <v>434517.10000000003</v>
      </c>
      <c r="I165" s="427">
        <f>I160</f>
        <v>406921.9266666667</v>
      </c>
      <c r="J165" s="427">
        <f>J160</f>
        <v>378570.10311111115</v>
      </c>
      <c r="K165" s="427">
        <f>K160</f>
        <v>354893.73002962966</v>
      </c>
      <c r="L165" s="13"/>
    </row>
    <row r="166" spans="1:12" ht="15" thickTop="1" x14ac:dyDescent="0.3">
      <c r="B166" s="74"/>
      <c r="C166" s="401"/>
      <c r="D166" s="401"/>
      <c r="E166" s="401"/>
      <c r="F166" s="401"/>
      <c r="G166" s="425"/>
      <c r="H166" s="425"/>
      <c r="I166" s="425"/>
      <c r="J166" s="425"/>
      <c r="K166" s="425"/>
      <c r="L166" s="13"/>
    </row>
    <row r="167" spans="1:12" x14ac:dyDescent="0.3">
      <c r="A167" t="s">
        <v>83</v>
      </c>
      <c r="B167" s="74"/>
      <c r="C167" s="401"/>
      <c r="D167" s="401"/>
      <c r="E167" s="401"/>
      <c r="F167" s="401"/>
      <c r="G167" s="425"/>
      <c r="H167" s="425"/>
      <c r="I167" s="425"/>
      <c r="J167" s="425"/>
      <c r="K167" s="425"/>
      <c r="L167" s="13"/>
    </row>
    <row r="168" spans="1:12" x14ac:dyDescent="0.3">
      <c r="A168" s="242" t="s">
        <v>487</v>
      </c>
      <c r="B168" s="74">
        <v>-204212</v>
      </c>
      <c r="C168" s="401">
        <v>-111021</v>
      </c>
      <c r="D168" s="401">
        <v>-256257</v>
      </c>
      <c r="E168" s="401">
        <v>-273228</v>
      </c>
      <c r="F168" s="401">
        <v>-431633</v>
      </c>
      <c r="G168" s="425">
        <f>G162</f>
        <v>-295692.52207870287</v>
      </c>
      <c r="H168" s="425">
        <f>H162</f>
        <v>-279943.62317509128</v>
      </c>
      <c r="I168" s="425">
        <f>I162</f>
        <v>-261894.51731637589</v>
      </c>
      <c r="J168" s="425">
        <f>J162</f>
        <v>-267859.75461356866</v>
      </c>
      <c r="K168" s="425">
        <f>K162</f>
        <v>-254226.23769185794</v>
      </c>
      <c r="L168" s="13"/>
    </row>
    <row r="169" spans="1:12" x14ac:dyDescent="0.3">
      <c r="A169" s="240"/>
      <c r="B169" s="401"/>
      <c r="C169" s="401"/>
      <c r="D169" s="401"/>
      <c r="E169" s="401"/>
      <c r="F169" s="401"/>
      <c r="G169" s="425"/>
      <c r="H169" s="425"/>
      <c r="I169" s="425"/>
      <c r="J169" s="425"/>
      <c r="K169" s="425"/>
      <c r="L169" s="13"/>
    </row>
    <row r="170" spans="1:12" x14ac:dyDescent="0.3">
      <c r="A170" s="240"/>
      <c r="B170" s="401"/>
      <c r="C170" s="401"/>
      <c r="D170" s="401"/>
      <c r="E170" s="401"/>
      <c r="F170" s="401"/>
      <c r="G170" s="425"/>
      <c r="H170" s="425"/>
      <c r="I170" s="425"/>
      <c r="J170" s="425"/>
      <c r="K170" s="425"/>
      <c r="L170" s="13"/>
    </row>
    <row r="171" spans="1:12" x14ac:dyDescent="0.3">
      <c r="A171" t="s">
        <v>95</v>
      </c>
      <c r="B171" s="74"/>
      <c r="C171" s="401"/>
      <c r="D171" s="401"/>
      <c r="E171" s="401"/>
      <c r="F171" s="401"/>
      <c r="G171" s="425"/>
      <c r="H171" s="425"/>
      <c r="I171" s="425"/>
      <c r="J171" s="425"/>
      <c r="K171" s="425"/>
      <c r="L171" s="13"/>
    </row>
    <row r="172" spans="1:12" x14ac:dyDescent="0.3">
      <c r="A172" s="242" t="s">
        <v>488</v>
      </c>
      <c r="B172" s="74">
        <v>251736</v>
      </c>
      <c r="C172" s="401">
        <v>371510</v>
      </c>
      <c r="D172" s="401">
        <v>471719</v>
      </c>
      <c r="E172" s="401">
        <v>432081</v>
      </c>
      <c r="F172" s="401">
        <v>651208</v>
      </c>
      <c r="G172" s="425">
        <f>G164*G173</f>
        <v>544579.38527253526</v>
      </c>
      <c r="H172" s="425">
        <f t="shared" ref="H172:K172" si="54">H164*H173</f>
        <v>515574.5067475203</v>
      </c>
      <c r="I172" s="425">
        <f t="shared" si="54"/>
        <v>474835.13278313813</v>
      </c>
      <c r="J172" s="425">
        <f t="shared" si="54"/>
        <v>461070.98188860388</v>
      </c>
      <c r="K172" s="425">
        <f t="shared" si="54"/>
        <v>432920.12429704622</v>
      </c>
      <c r="L172" s="13"/>
    </row>
    <row r="173" spans="1:12" x14ac:dyDescent="0.3">
      <c r="A173" s="242" t="s">
        <v>489</v>
      </c>
      <c r="B173" s="399">
        <f t="shared" ref="B173:F173" si="55">B172/B164</f>
        <v>0.79161268411718089</v>
      </c>
      <c r="C173" s="399">
        <f t="shared" si="55"/>
        <v>0.69019778325214676</v>
      </c>
      <c r="D173" s="399">
        <f t="shared" si="55"/>
        <v>0.72842005460228043</v>
      </c>
      <c r="E173" s="399">
        <f t="shared" si="55"/>
        <v>0.68913539290897785</v>
      </c>
      <c r="F173" s="399">
        <f t="shared" si="55"/>
        <v>0.70877159375870713</v>
      </c>
      <c r="G173" s="426">
        <f>AVERAGE(B173:F173)</f>
        <v>0.72162750172785861</v>
      </c>
      <c r="H173" s="426">
        <f t="shared" ref="H173:K173" si="56">AVERAGE(B173:G173)</f>
        <v>0.72162750172785861</v>
      </c>
      <c r="I173" s="426">
        <f t="shared" si="56"/>
        <v>0.70996330466297153</v>
      </c>
      <c r="J173" s="426">
        <f t="shared" si="56"/>
        <v>0.71325755823144243</v>
      </c>
      <c r="K173" s="426">
        <f t="shared" si="56"/>
        <v>0.71073047550296931</v>
      </c>
      <c r="L173" s="13"/>
    </row>
    <row r="174" spans="1:12" x14ac:dyDescent="0.3">
      <c r="A174" s="241" t="s">
        <v>490</v>
      </c>
      <c r="B174" s="404">
        <v>145410</v>
      </c>
      <c r="C174" s="405">
        <v>166756</v>
      </c>
      <c r="D174" s="405">
        <v>175873</v>
      </c>
      <c r="E174" s="405">
        <v>194909</v>
      </c>
      <c r="F174" s="405">
        <v>267576</v>
      </c>
      <c r="G174" s="429">
        <f>G164-G172</f>
        <v>210075.03680616757</v>
      </c>
      <c r="H174" s="429">
        <f t="shared" ref="H174:K174" si="57">H164-H172</f>
        <v>198886.21642757102</v>
      </c>
      <c r="I174" s="429">
        <f t="shared" si="57"/>
        <v>193981.31119990448</v>
      </c>
      <c r="J174" s="429">
        <f t="shared" si="57"/>
        <v>185358.87583607598</v>
      </c>
      <c r="K174" s="429">
        <f t="shared" si="57"/>
        <v>176199.84342444141</v>
      </c>
      <c r="L174" s="13"/>
    </row>
    <row r="175" spans="1:12" x14ac:dyDescent="0.3">
      <c r="B175" s="406">
        <f>+B172+B174</f>
        <v>397146</v>
      </c>
      <c r="C175" s="406">
        <f t="shared" ref="C175:K175" si="58">+C172+C174</f>
        <v>538266</v>
      </c>
      <c r="D175" s="406">
        <f t="shared" si="58"/>
        <v>647592</v>
      </c>
      <c r="E175" s="406">
        <f t="shared" si="58"/>
        <v>626990</v>
      </c>
      <c r="F175" s="406">
        <f t="shared" si="58"/>
        <v>918784</v>
      </c>
      <c r="G175" s="430">
        <f t="shared" si="58"/>
        <v>754654.42207870283</v>
      </c>
      <c r="H175" s="430">
        <f t="shared" si="58"/>
        <v>714460.72317509132</v>
      </c>
      <c r="I175" s="430">
        <f t="shared" si="58"/>
        <v>668816.44398304261</v>
      </c>
      <c r="J175" s="430">
        <f t="shared" si="58"/>
        <v>646429.85772467987</v>
      </c>
      <c r="K175" s="430">
        <f t="shared" si="58"/>
        <v>609119.96772148763</v>
      </c>
      <c r="L175" s="13"/>
    </row>
    <row r="176" spans="1:12" ht="15" thickBot="1" x14ac:dyDescent="0.35">
      <c r="A176" t="s">
        <v>486</v>
      </c>
      <c r="B176" s="402">
        <f t="shared" ref="B176:K176" si="59">+B168+B175</f>
        <v>192934</v>
      </c>
      <c r="C176" s="402">
        <f t="shared" si="59"/>
        <v>427245</v>
      </c>
      <c r="D176" s="402">
        <f t="shared" si="59"/>
        <v>391335</v>
      </c>
      <c r="E176" s="402">
        <f t="shared" si="59"/>
        <v>353762</v>
      </c>
      <c r="F176" s="402">
        <f t="shared" si="59"/>
        <v>487151</v>
      </c>
      <c r="G176" s="427">
        <f t="shared" si="59"/>
        <v>458961.89999999997</v>
      </c>
      <c r="H176" s="427">
        <f t="shared" si="59"/>
        <v>434517.10000000003</v>
      </c>
      <c r="I176" s="427">
        <f t="shared" si="59"/>
        <v>406921.92666666675</v>
      </c>
      <c r="J176" s="427">
        <f t="shared" si="59"/>
        <v>378570.10311111121</v>
      </c>
      <c r="K176" s="427">
        <f t="shared" si="59"/>
        <v>354893.73002962966</v>
      </c>
      <c r="L176" s="13"/>
    </row>
    <row r="177" spans="1:12" ht="15" thickTop="1" x14ac:dyDescent="0.3">
      <c r="A177" s="240"/>
      <c r="B177" s="407"/>
      <c r="C177" s="407"/>
      <c r="D177" s="407"/>
      <c r="E177" s="407"/>
      <c r="F177" s="407"/>
      <c r="G177" s="431"/>
      <c r="H177" s="431"/>
      <c r="I177" s="431"/>
      <c r="J177" s="431"/>
      <c r="K177" s="431"/>
      <c r="L177" s="13"/>
    </row>
    <row r="178" spans="1:12" x14ac:dyDescent="0.3">
      <c r="A178" t="s">
        <v>95</v>
      </c>
      <c r="B178" s="407"/>
      <c r="C178" s="407"/>
      <c r="D178" s="407"/>
      <c r="E178" s="407"/>
      <c r="F178" s="407"/>
      <c r="G178" s="431"/>
      <c r="H178" s="431"/>
      <c r="I178" s="431"/>
      <c r="J178" s="431"/>
      <c r="K178" s="431"/>
      <c r="L178" s="13"/>
    </row>
    <row r="179" spans="1:12" x14ac:dyDescent="0.3">
      <c r="A179" s="91" t="s">
        <v>444</v>
      </c>
      <c r="B179" s="401">
        <v>357469</v>
      </c>
      <c r="C179" s="401">
        <f t="shared" ref="C179:K179" si="60">B184</f>
        <v>397146</v>
      </c>
      <c r="D179" s="401">
        <f t="shared" si="60"/>
        <v>538266</v>
      </c>
      <c r="E179" s="401">
        <f t="shared" si="60"/>
        <v>647592</v>
      </c>
      <c r="F179" s="401">
        <f t="shared" si="60"/>
        <v>626990</v>
      </c>
      <c r="G179" s="425">
        <f t="shared" si="60"/>
        <v>918784</v>
      </c>
      <c r="H179" s="425">
        <f t="shared" si="60"/>
        <v>754654.42207870283</v>
      </c>
      <c r="I179" s="425">
        <f t="shared" si="60"/>
        <v>714460.72317509132</v>
      </c>
      <c r="J179" s="425">
        <f t="shared" si="60"/>
        <v>668816.44398304261</v>
      </c>
      <c r="K179" s="425">
        <f t="shared" si="60"/>
        <v>646429.85772467987</v>
      </c>
      <c r="L179" s="13"/>
    </row>
    <row r="180" spans="1:12" x14ac:dyDescent="0.3">
      <c r="A180" s="241" t="s">
        <v>491</v>
      </c>
      <c r="B180" s="72" t="s">
        <v>82</v>
      </c>
      <c r="C180" s="72" t="s">
        <v>82</v>
      </c>
      <c r="D180" s="408">
        <v>105128</v>
      </c>
      <c r="E180" s="72" t="s">
        <v>82</v>
      </c>
      <c r="F180" s="72" t="s">
        <v>82</v>
      </c>
      <c r="G180" s="358" t="s">
        <v>82</v>
      </c>
      <c r="H180" s="358" t="s">
        <v>82</v>
      </c>
      <c r="I180" s="358" t="s">
        <v>82</v>
      </c>
      <c r="J180" s="358" t="s">
        <v>82</v>
      </c>
      <c r="K180" s="358" t="s">
        <v>82</v>
      </c>
      <c r="L180" s="13"/>
    </row>
    <row r="181" spans="1:12" x14ac:dyDescent="0.3">
      <c r="A181" s="241" t="s">
        <v>492</v>
      </c>
      <c r="B181" s="401">
        <v>35087</v>
      </c>
      <c r="C181" s="401">
        <v>84160</v>
      </c>
      <c r="D181" s="401">
        <v>-39985</v>
      </c>
      <c r="E181" s="401">
        <v>-52877</v>
      </c>
      <c r="F181" s="401">
        <v>1829</v>
      </c>
      <c r="G181" s="425">
        <f>G184-G179-G183</f>
        <v>-198631.57792129717</v>
      </c>
      <c r="H181" s="425">
        <f>H184-H179-H183</f>
        <v>-80678.098903611506</v>
      </c>
      <c r="I181" s="425">
        <f>I184-I179-I183</f>
        <v>-82833.559192048706</v>
      </c>
      <c r="J181" s="425">
        <f>J184-J179-J183</f>
        <v>-58177.122258362746</v>
      </c>
      <c r="K181" s="425">
        <f>K184-K179-K183</f>
        <v>-73803.53320319223</v>
      </c>
      <c r="L181" s="13"/>
    </row>
    <row r="182" spans="1:12" x14ac:dyDescent="0.3">
      <c r="A182" s="241" t="s">
        <v>254</v>
      </c>
      <c r="B182" s="401">
        <v>4590</v>
      </c>
      <c r="C182" s="401">
        <v>56960</v>
      </c>
      <c r="D182" s="401">
        <v>44183</v>
      </c>
      <c r="E182" s="401">
        <v>32275</v>
      </c>
      <c r="F182" s="401">
        <v>289965</v>
      </c>
      <c r="G182" s="425"/>
      <c r="H182" s="425"/>
      <c r="I182" s="425"/>
      <c r="J182" s="425"/>
      <c r="K182" s="425"/>
      <c r="L182" s="13"/>
    </row>
    <row r="183" spans="1:12" x14ac:dyDescent="0.3">
      <c r="A183" s="241" t="s">
        <v>482</v>
      </c>
      <c r="B183" s="74">
        <f t="shared" ref="B183:E183" si="61">B182</f>
        <v>4590</v>
      </c>
      <c r="C183" s="74">
        <f t="shared" si="61"/>
        <v>56960</v>
      </c>
      <c r="D183" s="74">
        <f t="shared" si="61"/>
        <v>44183</v>
      </c>
      <c r="E183" s="74">
        <f t="shared" si="61"/>
        <v>32275</v>
      </c>
      <c r="F183" s="401">
        <f>AVERAGE(B183:E183)</f>
        <v>34502</v>
      </c>
      <c r="G183" s="425">
        <f t="shared" ref="G183:K183" si="62">AVERAGE(B183:F183)</f>
        <v>34502</v>
      </c>
      <c r="H183" s="425">
        <f t="shared" si="62"/>
        <v>40484.400000000001</v>
      </c>
      <c r="I183" s="425">
        <f t="shared" si="62"/>
        <v>37189.279999999999</v>
      </c>
      <c r="J183" s="425">
        <f t="shared" si="62"/>
        <v>35790.536</v>
      </c>
      <c r="K183" s="425">
        <f t="shared" si="62"/>
        <v>36493.643199999999</v>
      </c>
      <c r="L183" s="13"/>
    </row>
    <row r="184" spans="1:12" ht="15" thickBot="1" x14ac:dyDescent="0.35">
      <c r="A184" t="s">
        <v>493</v>
      </c>
      <c r="B184" s="402">
        <f t="shared" ref="B184:F184" si="63">SUM(B179:B182)</f>
        <v>397146</v>
      </c>
      <c r="C184" s="402">
        <f t="shared" si="63"/>
        <v>538266</v>
      </c>
      <c r="D184" s="402">
        <f t="shared" si="63"/>
        <v>647592</v>
      </c>
      <c r="E184" s="402">
        <f t="shared" si="63"/>
        <v>626990</v>
      </c>
      <c r="F184" s="402">
        <f t="shared" si="63"/>
        <v>918784</v>
      </c>
      <c r="G184" s="427">
        <f>G175</f>
        <v>754654.42207870283</v>
      </c>
      <c r="H184" s="427">
        <f>H175</f>
        <v>714460.72317509132</v>
      </c>
      <c r="I184" s="427">
        <f>I175</f>
        <v>668816.44398304261</v>
      </c>
      <c r="J184" s="427">
        <f>J175</f>
        <v>646429.85772467987</v>
      </c>
      <c r="K184" s="427">
        <f>K175</f>
        <v>609119.96772148763</v>
      </c>
      <c r="L184" s="13"/>
    </row>
    <row r="185" spans="1:12" ht="15" thickTop="1" x14ac:dyDescent="0.3">
      <c r="A185" s="243" t="s">
        <v>494</v>
      </c>
      <c r="B185" s="409">
        <f t="shared" ref="B185:K185" si="64">B175-B184</f>
        <v>0</v>
      </c>
      <c r="C185" s="409">
        <f t="shared" si="64"/>
        <v>0</v>
      </c>
      <c r="D185" s="409">
        <f t="shared" si="64"/>
        <v>0</v>
      </c>
      <c r="E185" s="409">
        <f t="shared" si="64"/>
        <v>0</v>
      </c>
      <c r="F185" s="409">
        <f t="shared" si="64"/>
        <v>0</v>
      </c>
      <c r="G185" s="432">
        <f t="shared" si="64"/>
        <v>0</v>
      </c>
      <c r="H185" s="432">
        <f t="shared" si="64"/>
        <v>0</v>
      </c>
      <c r="I185" s="432">
        <f t="shared" si="64"/>
        <v>0</v>
      </c>
      <c r="J185" s="432">
        <f t="shared" si="64"/>
        <v>0</v>
      </c>
      <c r="K185" s="432">
        <f t="shared" si="64"/>
        <v>0</v>
      </c>
      <c r="L185" s="13"/>
    </row>
    <row r="186" spans="1:12" x14ac:dyDescent="0.3">
      <c r="A186" s="240"/>
      <c r="B186" s="401"/>
      <c r="C186" s="401"/>
      <c r="D186" s="401"/>
      <c r="E186" s="401"/>
      <c r="F186" s="401"/>
      <c r="G186" s="425"/>
      <c r="H186" s="425"/>
      <c r="I186" s="425"/>
      <c r="J186" s="425"/>
      <c r="K186" s="425"/>
      <c r="L186" s="13"/>
    </row>
    <row r="187" spans="1:12" x14ac:dyDescent="0.3">
      <c r="A187" s="241" t="s">
        <v>96</v>
      </c>
      <c r="B187" s="401"/>
      <c r="C187" s="401"/>
      <c r="D187" s="401"/>
      <c r="E187" s="401"/>
      <c r="F187" s="401"/>
      <c r="G187" s="425"/>
      <c r="H187" s="425"/>
      <c r="I187" s="425"/>
      <c r="J187" s="425"/>
      <c r="K187" s="425"/>
      <c r="L187" s="13"/>
    </row>
    <row r="188" spans="1:12" x14ac:dyDescent="0.3">
      <c r="A188" t="s">
        <v>444</v>
      </c>
      <c r="B188" s="401">
        <v>-27366</v>
      </c>
      <c r="C188" s="401">
        <f t="shared" ref="C188:K188" si="65">B199</f>
        <v>-26442</v>
      </c>
      <c r="D188" s="401">
        <f t="shared" si="65"/>
        <v>-28429</v>
      </c>
      <c r="E188" s="401">
        <f t="shared" si="65"/>
        <v>-64089</v>
      </c>
      <c r="F188" s="401">
        <f t="shared" si="65"/>
        <v>-75320</v>
      </c>
      <c r="G188" s="425">
        <f t="shared" si="65"/>
        <v>-91629</v>
      </c>
      <c r="H188" s="425">
        <f t="shared" si="65"/>
        <v>-93921.343717716765</v>
      </c>
      <c r="I188" s="425">
        <f t="shared" si="65"/>
        <v>-104777.42041449851</v>
      </c>
      <c r="J188" s="425">
        <f t="shared" si="65"/>
        <v>-116483.11343517443</v>
      </c>
      <c r="K188" s="425">
        <f t="shared" si="65"/>
        <v>-122443.99901947322</v>
      </c>
      <c r="L188" s="13"/>
    </row>
    <row r="189" spans="1:12" x14ac:dyDescent="0.3">
      <c r="A189" s="241" t="s">
        <v>495</v>
      </c>
      <c r="B189" s="72" t="s">
        <v>82</v>
      </c>
      <c r="C189" s="72" t="s">
        <v>82</v>
      </c>
      <c r="D189" s="408">
        <v>-17364</v>
      </c>
      <c r="E189" s="72" t="s">
        <v>82</v>
      </c>
      <c r="F189" s="72" t="s">
        <v>82</v>
      </c>
      <c r="G189" s="358" t="s">
        <v>82</v>
      </c>
      <c r="H189" s="358" t="s">
        <v>82</v>
      </c>
      <c r="I189" s="358" t="s">
        <v>82</v>
      </c>
      <c r="J189" s="358" t="s">
        <v>82</v>
      </c>
      <c r="K189" s="358" t="s">
        <v>82</v>
      </c>
      <c r="L189" s="13"/>
    </row>
    <row r="190" spans="1:12" x14ac:dyDescent="0.3">
      <c r="A190" s="241" t="s">
        <v>496</v>
      </c>
      <c r="B190" s="401">
        <v>-3780</v>
      </c>
      <c r="C190" s="401">
        <v>6329</v>
      </c>
      <c r="D190" s="401">
        <v>-5072</v>
      </c>
      <c r="E190" s="401">
        <v>2123</v>
      </c>
      <c r="F190" s="401">
        <v>-9525</v>
      </c>
      <c r="G190" s="425">
        <f>G181*G192</f>
        <v>-2689.8476718038005</v>
      </c>
      <c r="H190" s="425">
        <f>H181*H192</f>
        <v>-3049.3670213768132</v>
      </c>
      <c r="I190" s="425">
        <f>I181*I192</f>
        <v>-2511.1538039570555</v>
      </c>
      <c r="J190" s="425">
        <f>J181*J192</f>
        <v>-640.48795773789936</v>
      </c>
      <c r="K190" s="425">
        <f>K181*K192</f>
        <v>-1567.6672496045073</v>
      </c>
      <c r="L190" s="13"/>
    </row>
    <row r="191" spans="1:12" x14ac:dyDescent="0.3">
      <c r="A191" s="241" t="s">
        <v>497</v>
      </c>
      <c r="B191" s="127">
        <f>B190/B181</f>
        <v>-0.10773220851027446</v>
      </c>
      <c r="C191" s="127">
        <f>C190/C181</f>
        <v>7.5201996197718626E-2</v>
      </c>
      <c r="D191" s="127">
        <f>D190/D181</f>
        <v>0.12684756783793924</v>
      </c>
      <c r="E191" s="127">
        <f>E190/E181</f>
        <v>-4.0149781568545873E-2</v>
      </c>
      <c r="F191" s="127">
        <f>F190/F181</f>
        <v>-5.2077638053581188</v>
      </c>
      <c r="G191" s="433"/>
      <c r="H191" s="433"/>
      <c r="I191" s="433"/>
      <c r="J191" s="433"/>
      <c r="K191" s="433"/>
      <c r="L191" s="13"/>
    </row>
    <row r="192" spans="1:12" x14ac:dyDescent="0.3">
      <c r="A192" s="241" t="s">
        <v>498</v>
      </c>
      <c r="B192" s="127">
        <f t="shared" ref="B192:E192" si="66">B191</f>
        <v>-0.10773220851027446</v>
      </c>
      <c r="C192" s="127">
        <f t="shared" si="66"/>
        <v>7.5201996197718626E-2</v>
      </c>
      <c r="D192" s="127">
        <f t="shared" si="66"/>
        <v>0.12684756783793924</v>
      </c>
      <c r="E192" s="127">
        <f t="shared" si="66"/>
        <v>-4.0149781568545873E-2</v>
      </c>
      <c r="F192" s="127">
        <f>AVERAGE(B192:E192)</f>
        <v>1.3541893489209384E-2</v>
      </c>
      <c r="G192" s="390">
        <f t="shared" ref="G192:K192" si="67">AVERAGE(B192:F192)</f>
        <v>1.3541893489209384E-2</v>
      </c>
      <c r="H192" s="390">
        <f t="shared" si="67"/>
        <v>3.7796713889106159E-2</v>
      </c>
      <c r="I192" s="390">
        <f t="shared" si="67"/>
        <v>3.0315657427383659E-2</v>
      </c>
      <c r="J192" s="390">
        <f t="shared" si="67"/>
        <v>1.1009275345272542E-2</v>
      </c>
      <c r="K192" s="390">
        <f t="shared" si="67"/>
        <v>2.1241086728036224E-2</v>
      </c>
      <c r="L192" s="13"/>
    </row>
    <row r="193" spans="1:12" x14ac:dyDescent="0.3">
      <c r="A193" s="241" t="s">
        <v>254</v>
      </c>
      <c r="B193" s="401">
        <v>4997</v>
      </c>
      <c r="C193" s="401">
        <v>-4869</v>
      </c>
      <c r="D193" s="401">
        <v>-25696</v>
      </c>
      <c r="E193" s="401">
        <v>-8483</v>
      </c>
      <c r="F193" s="401">
        <v>-34442</v>
      </c>
      <c r="G193" s="425"/>
      <c r="H193" s="425"/>
      <c r="I193" s="425"/>
      <c r="J193" s="425"/>
      <c r="K193" s="425"/>
      <c r="L193" s="13"/>
    </row>
    <row r="194" spans="1:12" x14ac:dyDescent="0.3">
      <c r="A194" s="241" t="s">
        <v>499</v>
      </c>
      <c r="B194" s="127">
        <f>B193/B182</f>
        <v>1.0886710239651416</v>
      </c>
      <c r="C194" s="127">
        <f>C193/C182</f>
        <v>-8.5481039325842695E-2</v>
      </c>
      <c r="D194" s="127">
        <f>D193/D182</f>
        <v>-0.58158115112147202</v>
      </c>
      <c r="E194" s="127">
        <f>E193/E182</f>
        <v>-0.26283501161890011</v>
      </c>
      <c r="F194" s="127">
        <f>F193/F182</f>
        <v>-0.11877985274084803</v>
      </c>
      <c r="G194" s="425"/>
      <c r="H194" s="425"/>
      <c r="I194" s="425"/>
      <c r="J194" s="425"/>
      <c r="K194" s="425"/>
      <c r="L194" s="13"/>
    </row>
    <row r="195" spans="1:12" x14ac:dyDescent="0.3">
      <c r="A195" s="241" t="s">
        <v>500</v>
      </c>
      <c r="B195" s="261">
        <f t="shared" ref="B195:E195" si="68">B194</f>
        <v>1.0886710239651416</v>
      </c>
      <c r="C195" s="261">
        <f t="shared" si="68"/>
        <v>-8.5481039325842695E-2</v>
      </c>
      <c r="D195" s="261">
        <f t="shared" si="68"/>
        <v>-0.58158115112147202</v>
      </c>
      <c r="E195" s="261">
        <f t="shared" si="68"/>
        <v>-0.26283501161890011</v>
      </c>
      <c r="F195" s="410">
        <f>AVERAGE(B195:E195)</f>
        <v>3.9693455474731687E-2</v>
      </c>
      <c r="G195" s="433">
        <f t="shared" ref="G195:K195" si="69">AVERAGE(B195:F195)</f>
        <v>3.9693455474731687E-2</v>
      </c>
      <c r="H195" s="433">
        <f t="shared" si="69"/>
        <v>-0.17010205822335028</v>
      </c>
      <c r="I195" s="433">
        <f t="shared" si="69"/>
        <v>-0.18702626200285183</v>
      </c>
      <c r="J195" s="433">
        <f t="shared" si="69"/>
        <v>-0.10811528417912777</v>
      </c>
      <c r="K195" s="433">
        <f t="shared" si="69"/>
        <v>-7.7171338691173291E-2</v>
      </c>
      <c r="L195" s="13"/>
    </row>
    <row r="196" spans="1:12" x14ac:dyDescent="0.3">
      <c r="A196" s="241" t="s">
        <v>482</v>
      </c>
      <c r="B196" s="74">
        <f t="shared" ref="B196:E196" si="70">B193</f>
        <v>4997</v>
      </c>
      <c r="C196" s="74">
        <f t="shared" si="70"/>
        <v>-4869</v>
      </c>
      <c r="D196" s="74">
        <f t="shared" si="70"/>
        <v>-25696</v>
      </c>
      <c r="E196" s="74">
        <f t="shared" si="70"/>
        <v>-8483</v>
      </c>
      <c r="F196" s="401">
        <f>AVERAGE(B196:E196)</f>
        <v>-8512.75</v>
      </c>
      <c r="G196" s="425">
        <f>G195*G183</f>
        <v>1369.5036007891927</v>
      </c>
      <c r="H196" s="425">
        <f>H195*H183</f>
        <v>-6886.4797659374026</v>
      </c>
      <c r="I196" s="425">
        <f>I195*I183</f>
        <v>-6955.3720249774169</v>
      </c>
      <c r="J196" s="425">
        <f>J195*J183</f>
        <v>-3869.503970563303</v>
      </c>
      <c r="K196" s="425">
        <f>K195*K183</f>
        <v>-2816.263299462033</v>
      </c>
      <c r="L196" s="13"/>
    </row>
    <row r="197" spans="1:12" x14ac:dyDescent="0.3">
      <c r="A197" s="241" t="s">
        <v>501</v>
      </c>
      <c r="B197" s="401">
        <v>-293</v>
      </c>
      <c r="C197" s="401">
        <v>-3447</v>
      </c>
      <c r="D197" s="401">
        <v>-4892</v>
      </c>
      <c r="E197" s="401">
        <v>-4871</v>
      </c>
      <c r="F197" s="401">
        <v>27658</v>
      </c>
      <c r="G197" s="425">
        <f>G198*G256</f>
        <v>-971.99964670215866</v>
      </c>
      <c r="H197" s="425">
        <f>H198*H256</f>
        <v>-920.22990946753214</v>
      </c>
      <c r="I197" s="425">
        <f>I198*I256</f>
        <v>-2239.1671917414369</v>
      </c>
      <c r="J197" s="425">
        <f>J198*J256</f>
        <v>-1450.8936559975882</v>
      </c>
      <c r="K197" s="425">
        <f>K198*K256</f>
        <v>-92.171593289557336</v>
      </c>
      <c r="L197" s="13"/>
    </row>
    <row r="198" spans="1:12" x14ac:dyDescent="0.3">
      <c r="A198" s="241" t="s">
        <v>502</v>
      </c>
      <c r="B198" s="127">
        <f t="shared" ref="B198:F198" si="71">B197/B256</f>
        <v>-5.8635181108665196E-2</v>
      </c>
      <c r="C198" s="127">
        <f t="shared" si="71"/>
        <v>0.70794824399260625</v>
      </c>
      <c r="D198" s="127">
        <f t="shared" si="71"/>
        <v>0.31009127789046653</v>
      </c>
      <c r="E198" s="127">
        <f t="shared" si="71"/>
        <v>0.57420723800542262</v>
      </c>
      <c r="F198" s="127">
        <f t="shared" si="71"/>
        <v>1</v>
      </c>
      <c r="G198" s="433">
        <f>AVERAGE(B198:F198)</f>
        <v>0.50672231575596605</v>
      </c>
      <c r="H198" s="433">
        <f t="shared" ref="H198:K198" si="72">AVERAGE(B198:G198)</f>
        <v>0.50672231575596605</v>
      </c>
      <c r="I198" s="433">
        <f t="shared" si="72"/>
        <v>0.60094856523340467</v>
      </c>
      <c r="J198" s="433">
        <f t="shared" si="72"/>
        <v>0.5831152854402043</v>
      </c>
      <c r="K198" s="433">
        <f t="shared" si="72"/>
        <v>0.62861928669849398</v>
      </c>
      <c r="L198" s="13"/>
    </row>
    <row r="199" spans="1:12" ht="15" thickBot="1" x14ac:dyDescent="0.35">
      <c r="A199" t="s">
        <v>493</v>
      </c>
      <c r="B199" s="402">
        <f t="shared" ref="B199:F199" si="73">B188+B190+B193+B197</f>
        <v>-26442</v>
      </c>
      <c r="C199" s="402">
        <f t="shared" si="73"/>
        <v>-28429</v>
      </c>
      <c r="D199" s="402">
        <f t="shared" si="73"/>
        <v>-64089</v>
      </c>
      <c r="E199" s="402">
        <f t="shared" si="73"/>
        <v>-75320</v>
      </c>
      <c r="F199" s="402">
        <f t="shared" si="73"/>
        <v>-91629</v>
      </c>
      <c r="G199" s="427">
        <f>G188+G190+G193+G196+G197</f>
        <v>-93921.343717716765</v>
      </c>
      <c r="H199" s="427">
        <f>H188+H190+H193+H196+H197</f>
        <v>-104777.42041449851</v>
      </c>
      <c r="I199" s="427">
        <f>I188+I190+I193+I196+I197</f>
        <v>-116483.11343517443</v>
      </c>
      <c r="J199" s="427">
        <f>J188+J190+J193+J196+J197</f>
        <v>-122443.99901947322</v>
      </c>
      <c r="K199" s="427">
        <f>K188+K190+K193+K196+K197</f>
        <v>-126920.10116182933</v>
      </c>
      <c r="L199" s="13"/>
    </row>
    <row r="200" spans="1:12" ht="15" thickTop="1" x14ac:dyDescent="0.3">
      <c r="A200" s="241"/>
      <c r="B200" s="401"/>
      <c r="C200" s="401"/>
      <c r="D200" s="401"/>
      <c r="E200" s="401"/>
      <c r="F200" s="401"/>
      <c r="G200" s="425"/>
      <c r="H200" s="425"/>
      <c r="I200" s="425"/>
      <c r="J200" s="425"/>
      <c r="K200" s="425"/>
      <c r="L200" s="13"/>
    </row>
    <row r="201" spans="1:12" x14ac:dyDescent="0.3">
      <c r="A201" s="240" t="s">
        <v>503</v>
      </c>
      <c r="B201" s="407"/>
      <c r="C201" s="407"/>
      <c r="D201" s="407"/>
      <c r="E201" s="407"/>
      <c r="F201" s="407"/>
      <c r="G201" s="431"/>
      <c r="H201" s="431"/>
      <c r="I201" s="431"/>
      <c r="J201" s="431"/>
      <c r="K201" s="431"/>
      <c r="L201" s="13"/>
    </row>
    <row r="202" spans="1:12" x14ac:dyDescent="0.3">
      <c r="A202" t="s">
        <v>444</v>
      </c>
      <c r="B202" s="411">
        <v>-38244</v>
      </c>
      <c r="C202" s="411">
        <f t="shared" ref="C202:K202" si="74">B211</f>
        <v>-55752</v>
      </c>
      <c r="D202" s="411">
        <f t="shared" si="74"/>
        <v>-46556</v>
      </c>
      <c r="E202" s="411">
        <f t="shared" si="74"/>
        <v>-141993</v>
      </c>
      <c r="F202" s="411">
        <f t="shared" si="74"/>
        <v>-137561</v>
      </c>
      <c r="G202" s="434">
        <f t="shared" si="74"/>
        <v>-238965</v>
      </c>
      <c r="H202" s="434">
        <f t="shared" si="74"/>
        <v>-312519.1103996326</v>
      </c>
      <c r="I202" s="434">
        <f t="shared" si="74"/>
        <v>-360263.20105245127</v>
      </c>
      <c r="J202" s="434">
        <f t="shared" si="74"/>
        <v>-414194.32815332746</v>
      </c>
      <c r="K202" s="434">
        <f t="shared" si="74"/>
        <v>-438629.39925339032</v>
      </c>
      <c r="L202" s="13"/>
    </row>
    <row r="203" spans="1:12" x14ac:dyDescent="0.3">
      <c r="A203" s="241" t="s">
        <v>495</v>
      </c>
      <c r="B203" s="412" t="s">
        <v>82</v>
      </c>
      <c r="C203" s="412" t="s">
        <v>82</v>
      </c>
      <c r="D203" s="411">
        <v>-12109</v>
      </c>
      <c r="E203" s="412" t="s">
        <v>82</v>
      </c>
      <c r="F203" s="412" t="s">
        <v>82</v>
      </c>
      <c r="G203" s="435" t="s">
        <v>82</v>
      </c>
      <c r="H203" s="435" t="s">
        <v>82</v>
      </c>
      <c r="I203" s="435" t="s">
        <v>82</v>
      </c>
      <c r="J203" s="435" t="s">
        <v>82</v>
      </c>
      <c r="K203" s="435" t="s">
        <v>82</v>
      </c>
      <c r="L203" s="13"/>
    </row>
    <row r="204" spans="1:12" x14ac:dyDescent="0.3">
      <c r="A204" s="241" t="s">
        <v>496</v>
      </c>
      <c r="B204" s="411">
        <v>-16823</v>
      </c>
      <c r="C204" s="411">
        <v>15837</v>
      </c>
      <c r="D204" s="411">
        <v>-74853</v>
      </c>
      <c r="E204" s="411">
        <v>11468</v>
      </c>
      <c r="F204" s="411">
        <v>-26048</v>
      </c>
      <c r="G204" s="434">
        <f>G206*G181</f>
        <v>-67726.33041006203</v>
      </c>
      <c r="H204" s="434">
        <f>H206*H181</f>
        <v>-40746.518138391351</v>
      </c>
      <c r="I204" s="434">
        <f>I206*I181</f>
        <v>-47084.682653359254</v>
      </c>
      <c r="J204" s="434">
        <f>J206*J181</f>
        <v>-17901.382149328248</v>
      </c>
      <c r="K204" s="434">
        <f>K206*K181</f>
        <v>-30452.957504472306</v>
      </c>
      <c r="L204" s="13"/>
    </row>
    <row r="205" spans="1:12" x14ac:dyDescent="0.3">
      <c r="A205" s="241" t="s">
        <v>497</v>
      </c>
      <c r="B205" s="244">
        <f>B204/B181</f>
        <v>-0.47946532903924532</v>
      </c>
      <c r="C205" s="244">
        <f>C204/C181</f>
        <v>0.18817728136882128</v>
      </c>
      <c r="D205" s="244">
        <f>D204/D181</f>
        <v>1.8720270101287984</v>
      </c>
      <c r="E205" s="244">
        <f>E204/E181</f>
        <v>-0.21688068536414698</v>
      </c>
      <c r="F205" s="244">
        <f>F204/F181</f>
        <v>-14.241662110442865</v>
      </c>
      <c r="G205" s="434"/>
      <c r="H205" s="434"/>
      <c r="I205" s="434"/>
      <c r="J205" s="434"/>
      <c r="K205" s="434"/>
      <c r="L205" s="13"/>
    </row>
    <row r="206" spans="1:12" x14ac:dyDescent="0.3">
      <c r="A206" s="241" t="s">
        <v>504</v>
      </c>
      <c r="B206" s="244">
        <f t="shared" ref="B206:E206" si="75">B205</f>
        <v>-0.47946532903924532</v>
      </c>
      <c r="C206" s="244">
        <f t="shared" si="75"/>
        <v>0.18817728136882128</v>
      </c>
      <c r="D206" s="244">
        <f t="shared" si="75"/>
        <v>1.8720270101287984</v>
      </c>
      <c r="E206" s="244">
        <f t="shared" si="75"/>
        <v>-0.21688068536414698</v>
      </c>
      <c r="F206" s="244">
        <f>AVERAGE(B206:E206)</f>
        <v>0.34096456927355684</v>
      </c>
      <c r="G206" s="436">
        <f t="shared" ref="G206:K206" si="76">AVERAGE(B206:F206)</f>
        <v>0.34096456927355684</v>
      </c>
      <c r="H206" s="436">
        <f t="shared" si="76"/>
        <v>0.50505054893611723</v>
      </c>
      <c r="I206" s="436">
        <f t="shared" si="76"/>
        <v>0.56842520244957639</v>
      </c>
      <c r="J206" s="436">
        <f t="shared" si="76"/>
        <v>0.30770484091373207</v>
      </c>
      <c r="K206" s="436">
        <f t="shared" si="76"/>
        <v>0.41262194616930781</v>
      </c>
      <c r="L206" s="13"/>
    </row>
    <row r="207" spans="1:12" x14ac:dyDescent="0.3">
      <c r="A207" s="241" t="s">
        <v>254</v>
      </c>
      <c r="B207" s="411">
        <v>-685</v>
      </c>
      <c r="C207" s="411">
        <v>-6641</v>
      </c>
      <c r="D207" s="411">
        <v>-8475</v>
      </c>
      <c r="E207" s="411">
        <v>-7036</v>
      </c>
      <c r="F207" s="411">
        <v>-75356</v>
      </c>
      <c r="G207" s="434">
        <f>G209*G183</f>
        <v>-5827.7799895705584</v>
      </c>
      <c r="H207" s="434">
        <f>H209*H183</f>
        <v>-6997.5725144272847</v>
      </c>
      <c r="I207" s="434">
        <f>I209*I183</f>
        <v>-6846.4444475169421</v>
      </c>
      <c r="J207" s="434">
        <f>J209*J183</f>
        <v>-6533.6889507345968</v>
      </c>
      <c r="K207" s="434">
        <f>K209*K183</f>
        <v>-6403.3182380705011</v>
      </c>
      <c r="L207" s="13"/>
    </row>
    <row r="208" spans="1:12" x14ac:dyDescent="0.3">
      <c r="A208" s="241" t="s">
        <v>499</v>
      </c>
      <c r="B208" s="244">
        <f>B207/B182</f>
        <v>-0.14923747276688454</v>
      </c>
      <c r="C208" s="244">
        <f>C207/C182</f>
        <v>-0.11659058988764046</v>
      </c>
      <c r="D208" s="244">
        <f>D207/D182</f>
        <v>-0.1918158567774936</v>
      </c>
      <c r="E208" s="244">
        <f>E207/E182</f>
        <v>-0.218001549186677</v>
      </c>
      <c r="F208" s="244">
        <f>F207/F182</f>
        <v>-0.25987964064628488</v>
      </c>
      <c r="G208" s="434"/>
      <c r="H208" s="434"/>
      <c r="I208" s="434"/>
      <c r="J208" s="434"/>
      <c r="K208" s="434"/>
      <c r="L208" s="13"/>
    </row>
    <row r="209" spans="1:12" x14ac:dyDescent="0.3">
      <c r="A209" s="241" t="s">
        <v>500</v>
      </c>
      <c r="B209" s="244">
        <f t="shared" ref="B209:E209" si="77">B208</f>
        <v>-0.14923747276688454</v>
      </c>
      <c r="C209" s="244">
        <f t="shared" si="77"/>
        <v>-0.11659058988764046</v>
      </c>
      <c r="D209" s="244">
        <f t="shared" si="77"/>
        <v>-0.1918158567774936</v>
      </c>
      <c r="E209" s="244">
        <f t="shared" si="77"/>
        <v>-0.218001549186677</v>
      </c>
      <c r="F209" s="244">
        <f>AVERAGE(B209:E209)</f>
        <v>-0.16891136715467389</v>
      </c>
      <c r="G209" s="436">
        <f t="shared" ref="G209:K209" si="78">AVERAGE(B209:F209)</f>
        <v>-0.16891136715467389</v>
      </c>
      <c r="H209" s="436">
        <f t="shared" si="78"/>
        <v>-0.17284614603223178</v>
      </c>
      <c r="I209" s="436">
        <f t="shared" si="78"/>
        <v>-0.18409725726115006</v>
      </c>
      <c r="J209" s="436">
        <f t="shared" si="78"/>
        <v>-0.18255353735788132</v>
      </c>
      <c r="K209" s="436">
        <f t="shared" si="78"/>
        <v>-0.17546393499212218</v>
      </c>
      <c r="L209" s="13"/>
    </row>
    <row r="210" spans="1:12" x14ac:dyDescent="0.3">
      <c r="A210" s="241" t="s">
        <v>501</v>
      </c>
      <c r="B210" s="72" t="s">
        <v>82</v>
      </c>
      <c r="C210" s="72" t="s">
        <v>82</v>
      </c>
      <c r="D210" s="72" t="s">
        <v>82</v>
      </c>
      <c r="E210" s="411" t="s">
        <v>82</v>
      </c>
      <c r="F210" s="411" t="s">
        <v>82</v>
      </c>
      <c r="G210" s="434" t="s">
        <v>82</v>
      </c>
      <c r="H210" s="434" t="s">
        <v>82</v>
      </c>
      <c r="I210" s="434" t="s">
        <v>82</v>
      </c>
      <c r="J210" s="434" t="s">
        <v>82</v>
      </c>
      <c r="K210" s="434" t="s">
        <v>82</v>
      </c>
      <c r="L210" s="13"/>
    </row>
    <row r="211" spans="1:12" ht="15" thickBot="1" x14ac:dyDescent="0.35">
      <c r="A211" t="s">
        <v>493</v>
      </c>
      <c r="B211" s="413">
        <f t="shared" ref="B211:K211" si="79">SUM(B202:B210)-B205-B206-B208-B209</f>
        <v>-55752</v>
      </c>
      <c r="C211" s="413">
        <f t="shared" si="79"/>
        <v>-46556</v>
      </c>
      <c r="D211" s="413">
        <f t="shared" si="79"/>
        <v>-141993</v>
      </c>
      <c r="E211" s="413">
        <f t="shared" si="79"/>
        <v>-137561</v>
      </c>
      <c r="F211" s="413">
        <f t="shared" si="79"/>
        <v>-238965</v>
      </c>
      <c r="G211" s="437">
        <f t="shared" si="79"/>
        <v>-312519.1103996326</v>
      </c>
      <c r="H211" s="437">
        <f t="shared" si="79"/>
        <v>-360263.20105245127</v>
      </c>
      <c r="I211" s="437">
        <f t="shared" si="79"/>
        <v>-414194.32815332746</v>
      </c>
      <c r="J211" s="437">
        <f t="shared" si="79"/>
        <v>-438629.39925339032</v>
      </c>
      <c r="K211" s="437">
        <f t="shared" si="79"/>
        <v>-475485.67499593314</v>
      </c>
      <c r="L211" s="13"/>
    </row>
    <row r="212" spans="1:12" ht="15" thickTop="1" x14ac:dyDescent="0.3">
      <c r="A212" s="240"/>
      <c r="B212" s="411"/>
      <c r="C212" s="411"/>
      <c r="D212" s="411"/>
      <c r="E212" s="411"/>
      <c r="F212" s="411"/>
      <c r="G212" s="434"/>
      <c r="H212" s="434"/>
      <c r="I212" s="434"/>
      <c r="J212" s="434"/>
      <c r="K212" s="434"/>
      <c r="L212" s="13"/>
    </row>
    <row r="213" spans="1:12" x14ac:dyDescent="0.3">
      <c r="A213" s="91" t="s">
        <v>505</v>
      </c>
      <c r="B213" s="411"/>
      <c r="C213" s="411"/>
      <c r="D213" s="411"/>
      <c r="E213" s="411"/>
      <c r="F213" s="411"/>
      <c r="G213" s="434"/>
      <c r="H213" s="434"/>
      <c r="I213" s="434"/>
      <c r="J213" s="434"/>
      <c r="K213" s="434"/>
      <c r="L213" s="13"/>
    </row>
    <row r="214" spans="1:12" x14ac:dyDescent="0.3">
      <c r="A214" t="s">
        <v>444</v>
      </c>
      <c r="B214" s="414">
        <v>-999</v>
      </c>
      <c r="C214" s="414">
        <f t="shared" ref="C214:K214" si="80">B223</f>
        <v>-260</v>
      </c>
      <c r="D214" s="414">
        <f t="shared" si="80"/>
        <v>-756</v>
      </c>
      <c r="E214" s="414">
        <f t="shared" si="80"/>
        <v>-5840</v>
      </c>
      <c r="F214" s="414">
        <f t="shared" si="80"/>
        <v>-13830</v>
      </c>
      <c r="G214" s="438">
        <f t="shared" si="80"/>
        <v>-40436</v>
      </c>
      <c r="H214" s="438">
        <f t="shared" si="80"/>
        <v>-41924.483442248238</v>
      </c>
      <c r="I214" s="438">
        <f t="shared" si="80"/>
        <v>-42568.338523277336</v>
      </c>
      <c r="J214" s="438">
        <f t="shared" si="80"/>
        <v>-43383.608727219646</v>
      </c>
      <c r="K214" s="438">
        <f t="shared" si="80"/>
        <v>-45676.332470198729</v>
      </c>
      <c r="L214" s="13"/>
    </row>
    <row r="215" spans="1:12" x14ac:dyDescent="0.3">
      <c r="A215" s="241" t="s">
        <v>495</v>
      </c>
      <c r="B215" s="415" t="s">
        <v>82</v>
      </c>
      <c r="C215" s="415" t="s">
        <v>82</v>
      </c>
      <c r="D215" s="416">
        <v>-9942</v>
      </c>
      <c r="E215" s="415" t="s">
        <v>82</v>
      </c>
      <c r="F215" s="415" t="s">
        <v>82</v>
      </c>
      <c r="G215" s="174" t="s">
        <v>82</v>
      </c>
      <c r="H215" s="174" t="s">
        <v>82</v>
      </c>
      <c r="I215" s="174" t="s">
        <v>82</v>
      </c>
      <c r="J215" s="174" t="s">
        <v>82</v>
      </c>
      <c r="K215" s="174" t="s">
        <v>82</v>
      </c>
      <c r="L215" s="13"/>
    </row>
    <row r="216" spans="1:12" x14ac:dyDescent="0.3">
      <c r="A216" s="241" t="s">
        <v>496</v>
      </c>
      <c r="B216" s="416">
        <v>739</v>
      </c>
      <c r="C216" s="416">
        <v>-440</v>
      </c>
      <c r="D216" s="401">
        <v>5186</v>
      </c>
      <c r="E216" s="416">
        <v>-7205</v>
      </c>
      <c r="F216" s="416">
        <v>-13877</v>
      </c>
      <c r="G216" s="439">
        <f>G218*G181</f>
        <v>-1112.0775865990308</v>
      </c>
      <c r="H216" s="439">
        <f>H218*H181</f>
        <v>-202.1831425198815</v>
      </c>
      <c r="I216" s="439">
        <f>I218*I181</f>
        <v>-335.7148310647944</v>
      </c>
      <c r="J216" s="439">
        <f>J218*J181</f>
        <v>-1792.040866253496</v>
      </c>
      <c r="K216" s="439">
        <f>K218*K181</f>
        <v>-716.77268051126191</v>
      </c>
      <c r="L216" s="13"/>
    </row>
    <row r="217" spans="1:12" x14ac:dyDescent="0.3">
      <c r="A217" s="241" t="s">
        <v>497</v>
      </c>
      <c r="B217" s="417">
        <f>B216/B181</f>
        <v>2.1061931769601278E-2</v>
      </c>
      <c r="C217" s="417">
        <f>C216/C181</f>
        <v>-5.2281368821292772E-3</v>
      </c>
      <c r="D217" s="417">
        <f>D216/D181</f>
        <v>-0.12969863698887082</v>
      </c>
      <c r="E217" s="417">
        <f>E216/E181</f>
        <v>0.13625962138547951</v>
      </c>
      <c r="F217" s="417">
        <f>F216/F181</f>
        <v>-7.5872061235647896</v>
      </c>
      <c r="G217" s="439"/>
      <c r="H217" s="439"/>
      <c r="I217" s="439"/>
      <c r="J217" s="439"/>
      <c r="K217" s="439"/>
      <c r="L217" s="13"/>
    </row>
    <row r="218" spans="1:12" x14ac:dyDescent="0.3">
      <c r="A218" s="241" t="s">
        <v>504</v>
      </c>
      <c r="B218" s="418">
        <f t="shared" ref="B218:E218" si="81">B217</f>
        <v>2.1061931769601278E-2</v>
      </c>
      <c r="C218" s="418">
        <f t="shared" si="81"/>
        <v>-5.2281368821292772E-3</v>
      </c>
      <c r="D218" s="418">
        <f t="shared" si="81"/>
        <v>-0.12969863698887082</v>
      </c>
      <c r="E218" s="418">
        <f t="shared" si="81"/>
        <v>0.13625962138547951</v>
      </c>
      <c r="F218" s="419">
        <f>AVERAGE(B218:E218)</f>
        <v>5.5986948210201698E-3</v>
      </c>
      <c r="G218" s="440">
        <f t="shared" ref="G218:K218" si="82">AVERAGE(B218:F218)</f>
        <v>5.5986948210201698E-3</v>
      </c>
      <c r="H218" s="440">
        <f t="shared" si="82"/>
        <v>2.5060474313039482E-3</v>
      </c>
      <c r="I218" s="440">
        <f t="shared" si="82"/>
        <v>4.0528842939905937E-3</v>
      </c>
      <c r="J218" s="440">
        <f t="shared" si="82"/>
        <v>3.0803188550562875E-2</v>
      </c>
      <c r="K218" s="440">
        <f t="shared" si="82"/>
        <v>9.7119019835795514E-3</v>
      </c>
      <c r="L218" s="13"/>
    </row>
    <row r="219" spans="1:12" x14ac:dyDescent="0.3">
      <c r="A219" s="241" t="s">
        <v>254</v>
      </c>
      <c r="B219" s="416" t="s">
        <v>82</v>
      </c>
      <c r="C219" s="416">
        <v>-56</v>
      </c>
      <c r="D219" s="416">
        <v>-328</v>
      </c>
      <c r="E219" s="416">
        <v>-785</v>
      </c>
      <c r="F219" s="416">
        <v>-12729</v>
      </c>
      <c r="G219" s="439">
        <f>G221*G183</f>
        <v>-376.40585564921059</v>
      </c>
      <c r="H219" s="439">
        <f>H221*H183</f>
        <v>-441.67193850921404</v>
      </c>
      <c r="I219" s="439">
        <f>I221*I183</f>
        <v>-479.55537287751383</v>
      </c>
      <c r="J219" s="439">
        <f>J221*J183</f>
        <v>-500.68287672558426</v>
      </c>
      <c r="K219" s="439">
        <f>K221*K183</f>
        <v>-435.10122306102897</v>
      </c>
      <c r="L219" s="13"/>
    </row>
    <row r="220" spans="1:12" x14ac:dyDescent="0.3">
      <c r="A220" s="241" t="s">
        <v>499</v>
      </c>
      <c r="B220" s="415" t="s">
        <v>82</v>
      </c>
      <c r="C220" s="417">
        <f>C219/C182</f>
        <v>-9.831460674157304E-4</v>
      </c>
      <c r="D220" s="417">
        <f>D219/D182</f>
        <v>-7.4236697372292507E-3</v>
      </c>
      <c r="E220" s="417">
        <f>E219/E182</f>
        <v>-2.4322230828814871E-2</v>
      </c>
      <c r="F220" s="417">
        <f>F219/F182</f>
        <v>-4.3898401531219287E-2</v>
      </c>
      <c r="G220" s="439"/>
      <c r="H220" s="439"/>
      <c r="I220" s="439"/>
      <c r="J220" s="439"/>
      <c r="K220" s="439"/>
      <c r="L220" s="13"/>
    </row>
    <row r="221" spans="1:12" x14ac:dyDescent="0.3">
      <c r="A221" s="241" t="s">
        <v>500</v>
      </c>
      <c r="B221" s="415" t="str">
        <f t="shared" ref="B221:E221" si="83">B220</f>
        <v>Nil</v>
      </c>
      <c r="C221" s="418">
        <f t="shared" si="83"/>
        <v>-9.831460674157304E-4</v>
      </c>
      <c r="D221" s="418">
        <f t="shared" si="83"/>
        <v>-7.4236697372292507E-3</v>
      </c>
      <c r="E221" s="418">
        <f t="shared" si="83"/>
        <v>-2.4322230828814871E-2</v>
      </c>
      <c r="F221" s="419">
        <f>AVERAGE(B221:E221)</f>
        <v>-1.0909682211153285E-2</v>
      </c>
      <c r="G221" s="440">
        <f t="shared" ref="G221:K221" si="84">AVERAGE(B221:F221)</f>
        <v>-1.0909682211153285E-2</v>
      </c>
      <c r="H221" s="440">
        <f t="shared" si="84"/>
        <v>-1.0909682211153285E-2</v>
      </c>
      <c r="I221" s="440">
        <f t="shared" si="84"/>
        <v>-1.2894989439900795E-2</v>
      </c>
      <c r="J221" s="440">
        <f t="shared" si="84"/>
        <v>-1.3989253380435104E-2</v>
      </c>
      <c r="K221" s="440">
        <f t="shared" si="84"/>
        <v>-1.192265789075915E-2</v>
      </c>
      <c r="L221" s="13"/>
    </row>
    <row r="222" spans="1:12" x14ac:dyDescent="0.3">
      <c r="A222" s="241" t="s">
        <v>501</v>
      </c>
      <c r="B222" s="416" t="s">
        <v>82</v>
      </c>
      <c r="C222" s="416" t="s">
        <v>82</v>
      </c>
      <c r="D222" s="416" t="s">
        <v>82</v>
      </c>
      <c r="E222" s="416" t="s">
        <v>82</v>
      </c>
      <c r="F222" s="416" t="s">
        <v>82</v>
      </c>
      <c r="G222" s="439" t="s">
        <v>82</v>
      </c>
      <c r="H222" s="439" t="s">
        <v>82</v>
      </c>
      <c r="I222" s="439" t="s">
        <v>82</v>
      </c>
      <c r="J222" s="439" t="s">
        <v>82</v>
      </c>
      <c r="K222" s="439" t="s">
        <v>82</v>
      </c>
      <c r="L222" s="13"/>
    </row>
    <row r="223" spans="1:12" ht="15" thickBot="1" x14ac:dyDescent="0.35">
      <c r="A223" t="s">
        <v>493</v>
      </c>
      <c r="B223" s="420">
        <f>B214+B216</f>
        <v>-260</v>
      </c>
      <c r="C223" s="420">
        <f>C214+C216+C219</f>
        <v>-756</v>
      </c>
      <c r="D223" s="420">
        <f>D214+D215+D216+D219</f>
        <v>-5840</v>
      </c>
      <c r="E223" s="420">
        <f t="shared" ref="E223:K223" si="85">E214+E216+E219</f>
        <v>-13830</v>
      </c>
      <c r="F223" s="420">
        <f t="shared" si="85"/>
        <v>-40436</v>
      </c>
      <c r="G223" s="441">
        <f t="shared" si="85"/>
        <v>-41924.483442248238</v>
      </c>
      <c r="H223" s="441">
        <f t="shared" si="85"/>
        <v>-42568.338523277336</v>
      </c>
      <c r="I223" s="441">
        <f t="shared" si="85"/>
        <v>-43383.608727219646</v>
      </c>
      <c r="J223" s="441">
        <f t="shared" si="85"/>
        <v>-45676.332470198729</v>
      </c>
      <c r="K223" s="441">
        <f t="shared" si="85"/>
        <v>-46828.20637377102</v>
      </c>
      <c r="L223" s="13"/>
    </row>
    <row r="224" spans="1:12" ht="15" thickTop="1" x14ac:dyDescent="0.3">
      <c r="A224" s="240"/>
      <c r="B224" s="407"/>
      <c r="C224" s="407"/>
      <c r="D224" s="407"/>
      <c r="E224" s="407"/>
      <c r="F224" s="407"/>
      <c r="G224" s="431"/>
      <c r="H224" s="431"/>
      <c r="I224" s="431"/>
      <c r="J224" s="431"/>
      <c r="K224" s="431"/>
      <c r="L224" s="13"/>
    </row>
    <row r="225" spans="1:12" x14ac:dyDescent="0.3">
      <c r="A225" s="240" t="s">
        <v>506</v>
      </c>
      <c r="B225" s="407"/>
      <c r="C225" s="407"/>
      <c r="D225" s="407"/>
      <c r="E225" s="407"/>
      <c r="F225" s="407"/>
      <c r="G225" s="431"/>
      <c r="H225" s="431"/>
      <c r="I225" s="431"/>
      <c r="J225" s="431"/>
      <c r="K225" s="431"/>
      <c r="L225" s="13"/>
    </row>
    <row r="226" spans="1:12" x14ac:dyDescent="0.3">
      <c r="A226" t="s">
        <v>444</v>
      </c>
      <c r="B226" s="408">
        <v>-159344</v>
      </c>
      <c r="C226" s="408">
        <f t="shared" ref="C226:K226" si="86">B235</f>
        <v>-109490.53</v>
      </c>
      <c r="D226" s="408">
        <f t="shared" si="86"/>
        <v>-17472.449999999997</v>
      </c>
      <c r="E226" s="408">
        <f t="shared" si="86"/>
        <v>-4189.4499999999971</v>
      </c>
      <c r="F226" s="408">
        <f t="shared" si="86"/>
        <v>-2.6099999999970898</v>
      </c>
      <c r="G226" s="442">
        <f t="shared" si="86"/>
        <v>-2.6099999999970898</v>
      </c>
      <c r="H226" s="442">
        <f t="shared" si="86"/>
        <v>-32867.191898049459</v>
      </c>
      <c r="I226" s="442">
        <f t="shared" si="86"/>
        <v>-26859.972797211289</v>
      </c>
      <c r="J226" s="442">
        <f t="shared" si="86"/>
        <v>2196.3252734754165</v>
      </c>
      <c r="K226" s="442">
        <f t="shared" si="86"/>
        <v>2949.1091103705253</v>
      </c>
      <c r="L226" s="13"/>
    </row>
    <row r="227" spans="1:12" x14ac:dyDescent="0.3">
      <c r="A227" s="241" t="s">
        <v>495</v>
      </c>
      <c r="B227" s="72" t="s">
        <v>82</v>
      </c>
      <c r="C227" s="72" t="s">
        <v>82</v>
      </c>
      <c r="D227" s="408">
        <v>-65713</v>
      </c>
      <c r="E227" s="72" t="s">
        <v>82</v>
      </c>
      <c r="F227" s="72" t="s">
        <v>82</v>
      </c>
      <c r="G227" s="358" t="s">
        <v>82</v>
      </c>
      <c r="H227" s="358" t="s">
        <v>82</v>
      </c>
      <c r="I227" s="358" t="s">
        <v>82</v>
      </c>
      <c r="J227" s="358" t="s">
        <v>82</v>
      </c>
      <c r="K227" s="358" t="s">
        <v>82</v>
      </c>
      <c r="L227" s="13"/>
    </row>
    <row r="228" spans="1:12" x14ac:dyDescent="0.3">
      <c r="A228" s="241" t="s">
        <v>496</v>
      </c>
      <c r="B228" s="408">
        <v>50912</v>
      </c>
      <c r="C228" s="408">
        <v>101601</v>
      </c>
      <c r="D228" s="408">
        <v>79533</v>
      </c>
      <c r="E228" s="408">
        <v>4153</v>
      </c>
      <c r="F228" s="72" t="s">
        <v>82</v>
      </c>
      <c r="G228" s="442">
        <f>G230*G181</f>
        <v>-29330.251475342626</v>
      </c>
      <c r="H228" s="442">
        <f>H230*H181</f>
        <v>9117.4690841495467</v>
      </c>
      <c r="I228" s="442">
        <f>I230*I181</f>
        <v>31233.204895372561</v>
      </c>
      <c r="J228" s="442">
        <f>J230*J181</f>
        <v>3179.8203863286017</v>
      </c>
      <c r="K228" s="442">
        <f>K230*K181</f>
        <v>3681.3893427037547</v>
      </c>
      <c r="L228" s="13"/>
    </row>
    <row r="229" spans="1:12" x14ac:dyDescent="0.3">
      <c r="A229" s="241" t="s">
        <v>497</v>
      </c>
      <c r="B229" s="144">
        <f>B228/B181</f>
        <v>1.4510217459457919</v>
      </c>
      <c r="C229" s="144">
        <f>C228/C181</f>
        <v>1.2072362167300381</v>
      </c>
      <c r="D229" s="144">
        <f>D228/D181</f>
        <v>-1.9890709015880956</v>
      </c>
      <c r="E229" s="144">
        <f>E228/E181</f>
        <v>-7.8540764415530387E-2</v>
      </c>
      <c r="F229" s="144" t="e">
        <f>F228/F181</f>
        <v>#VALUE!</v>
      </c>
      <c r="G229" s="442"/>
      <c r="H229" s="442"/>
      <c r="I229" s="442"/>
      <c r="J229" s="442"/>
      <c r="K229" s="442"/>
      <c r="L229" s="13"/>
    </row>
    <row r="230" spans="1:12" x14ac:dyDescent="0.3">
      <c r="A230" s="241" t="s">
        <v>504</v>
      </c>
      <c r="B230" s="421">
        <f t="shared" ref="B230:E230" si="87">B229</f>
        <v>1.4510217459457919</v>
      </c>
      <c r="C230" s="421">
        <f t="shared" si="87"/>
        <v>1.2072362167300381</v>
      </c>
      <c r="D230" s="421">
        <f t="shared" si="87"/>
        <v>-1.9890709015880956</v>
      </c>
      <c r="E230" s="421">
        <f t="shared" si="87"/>
        <v>-7.8540764415530387E-2</v>
      </c>
      <c r="F230" s="421">
        <f>AVERAGE(B230:E230)</f>
        <v>0.14766157416805101</v>
      </c>
      <c r="G230" s="443">
        <f t="shared" ref="G230:K230" si="88">AVERAGE(B230:F230)</f>
        <v>0.14766157416805101</v>
      </c>
      <c r="H230" s="443">
        <f t="shared" si="88"/>
        <v>-0.11301046018749716</v>
      </c>
      <c r="I230" s="443">
        <f t="shared" si="88"/>
        <v>-0.37705979557100422</v>
      </c>
      <c r="J230" s="443">
        <f t="shared" si="88"/>
        <v>-5.4657574367585948E-2</v>
      </c>
      <c r="K230" s="443">
        <f t="shared" si="88"/>
        <v>-4.9880936357997063E-2</v>
      </c>
      <c r="L230" s="13"/>
    </row>
    <row r="231" spans="1:12" x14ac:dyDescent="0.3">
      <c r="A231" s="241" t="s">
        <v>254</v>
      </c>
      <c r="B231" s="408">
        <v>-1058</v>
      </c>
      <c r="C231" s="408">
        <v>-9585</v>
      </c>
      <c r="D231" s="408">
        <v>-537</v>
      </c>
      <c r="E231" s="408">
        <v>38</v>
      </c>
      <c r="F231" s="72" t="s">
        <v>82</v>
      </c>
      <c r="G231" s="442">
        <f>G233*G183</f>
        <v>-3534.3304227068356</v>
      </c>
      <c r="H231" s="442">
        <f>H233*H183</f>
        <v>-3110.2499833113766</v>
      </c>
      <c r="I231" s="442">
        <f>I233*I183</f>
        <v>-2176.9068246858556</v>
      </c>
      <c r="J231" s="442">
        <f>J233*J183</f>
        <v>-2427.0365494334933</v>
      </c>
      <c r="K231" s="442">
        <f>K233*K183</f>
        <v>-2978.2523822814155</v>
      </c>
      <c r="L231" s="13"/>
    </row>
    <row r="232" spans="1:12" x14ac:dyDescent="0.3">
      <c r="A232" s="241" t="s">
        <v>499</v>
      </c>
      <c r="B232" s="144">
        <f>B231/B182</f>
        <v>-0.23050108932461874</v>
      </c>
      <c r="C232" s="144">
        <f>C231/C182</f>
        <v>-0.16827598314606743</v>
      </c>
      <c r="D232" s="144">
        <f>D231/D182</f>
        <v>-1.2153995880768622E-2</v>
      </c>
      <c r="E232" s="144">
        <f>E231/E182</f>
        <v>1.1773818745158791E-3</v>
      </c>
      <c r="F232" s="144" t="e">
        <f>F231/F182</f>
        <v>#VALUE!</v>
      </c>
      <c r="G232" s="442"/>
      <c r="H232" s="442"/>
      <c r="I232" s="442"/>
      <c r="J232" s="442"/>
      <c r="K232" s="442"/>
      <c r="L232" s="13"/>
    </row>
    <row r="233" spans="1:12" x14ac:dyDescent="0.3">
      <c r="A233" s="241" t="s">
        <v>500</v>
      </c>
      <c r="B233" s="421">
        <f t="shared" ref="B233:E233" si="89">B232</f>
        <v>-0.23050108932461874</v>
      </c>
      <c r="C233" s="421">
        <f t="shared" si="89"/>
        <v>-0.16827598314606743</v>
      </c>
      <c r="D233" s="421">
        <f t="shared" si="89"/>
        <v>-1.2153995880768622E-2</v>
      </c>
      <c r="E233" s="421">
        <f t="shared" si="89"/>
        <v>1.1773818745158791E-3</v>
      </c>
      <c r="F233" s="421">
        <f>AVERAGE(B233:E233)</f>
        <v>-0.10243842161923472</v>
      </c>
      <c r="G233" s="443">
        <f t="shared" ref="G233:K233" si="90">AVERAGE(B233:F233)</f>
        <v>-0.10243842161923471</v>
      </c>
      <c r="H233" s="443">
        <f t="shared" si="90"/>
        <v>-7.682588807815792E-2</v>
      </c>
      <c r="I233" s="443">
        <f t="shared" si="90"/>
        <v>-5.8535869064576015E-2</v>
      </c>
      <c r="J233" s="443">
        <f t="shared" si="90"/>
        <v>-6.781224370133751E-2</v>
      </c>
      <c r="K233" s="443">
        <f t="shared" si="90"/>
        <v>-8.1610168816508177E-2</v>
      </c>
      <c r="L233" s="13"/>
    </row>
    <row r="234" spans="1:12" x14ac:dyDescent="0.3">
      <c r="A234" s="241" t="s">
        <v>501</v>
      </c>
      <c r="B234" s="72" t="s">
        <v>82</v>
      </c>
      <c r="C234" s="72" t="s">
        <v>82</v>
      </c>
      <c r="D234" s="72" t="s">
        <v>82</v>
      </c>
      <c r="E234" s="72" t="s">
        <v>82</v>
      </c>
      <c r="F234" s="72" t="s">
        <v>82</v>
      </c>
      <c r="G234" s="358" t="s">
        <v>82</v>
      </c>
      <c r="H234" s="358" t="s">
        <v>82</v>
      </c>
      <c r="I234" s="358" t="s">
        <v>82</v>
      </c>
      <c r="J234" s="358" t="s">
        <v>82</v>
      </c>
      <c r="K234" s="358" t="s">
        <v>82</v>
      </c>
      <c r="L234" s="13"/>
    </row>
    <row r="235" spans="1:12" ht="15" thickBot="1" x14ac:dyDescent="0.35">
      <c r="A235" t="s">
        <v>493</v>
      </c>
      <c r="B235" s="420">
        <f>B226+B228+B231-0.53</f>
        <v>-109490.53</v>
      </c>
      <c r="C235" s="420">
        <f>C226+C228+C231+2.08</f>
        <v>-17472.449999999997</v>
      </c>
      <c r="D235" s="420">
        <f>D226+D228+D231+D227</f>
        <v>-4189.4499999999971</v>
      </c>
      <c r="E235" s="420">
        <f>E226+E228+E231-4.16</f>
        <v>-2.6099999999970898</v>
      </c>
      <c r="F235" s="420">
        <f>F226</f>
        <v>-2.6099999999970898</v>
      </c>
      <c r="G235" s="441">
        <f>G226+G228+G231</f>
        <v>-32867.191898049459</v>
      </c>
      <c r="H235" s="441">
        <f>H226+H228+H231</f>
        <v>-26859.972797211289</v>
      </c>
      <c r="I235" s="441">
        <f>I226+I228+I231</f>
        <v>2196.3252734754165</v>
      </c>
      <c r="J235" s="441">
        <f t="shared" ref="J235:K235" si="91">J226+J228+J231</f>
        <v>2949.1091103705253</v>
      </c>
      <c r="K235" s="441">
        <f t="shared" si="91"/>
        <v>3652.2460707928649</v>
      </c>
      <c r="L235" s="13"/>
    </row>
    <row r="236" spans="1:12" ht="15" thickTop="1" x14ac:dyDescent="0.3">
      <c r="A236" s="240"/>
      <c r="B236" s="407"/>
      <c r="C236" s="407"/>
      <c r="D236" s="407"/>
      <c r="E236" s="407"/>
      <c r="F236" s="407"/>
      <c r="G236" s="431"/>
      <c r="H236" s="431"/>
      <c r="I236" s="431"/>
      <c r="J236" s="431"/>
      <c r="K236" s="431"/>
      <c r="L236" s="13"/>
    </row>
    <row r="237" spans="1:12" x14ac:dyDescent="0.3">
      <c r="A237" s="240" t="s">
        <v>507</v>
      </c>
      <c r="B237" s="401"/>
      <c r="C237" s="401"/>
      <c r="D237" s="401"/>
      <c r="E237" s="401"/>
      <c r="F237" s="407"/>
      <c r="G237" s="431"/>
      <c r="H237" s="431"/>
      <c r="I237" s="431"/>
      <c r="J237" s="431"/>
      <c r="K237" s="431"/>
      <c r="L237" s="13"/>
    </row>
    <row r="238" spans="1:12" x14ac:dyDescent="0.3">
      <c r="A238" t="s">
        <v>444</v>
      </c>
      <c r="B238" s="408">
        <v>-16336</v>
      </c>
      <c r="C238" s="408">
        <f t="shared" ref="C238:K238" si="92">B247</f>
        <v>-12268</v>
      </c>
      <c r="D238" s="408">
        <f t="shared" si="92"/>
        <v>-17806</v>
      </c>
      <c r="E238" s="408">
        <f t="shared" si="92"/>
        <v>-22780</v>
      </c>
      <c r="F238" s="408">
        <f t="shared" si="92"/>
        <v>-29153</v>
      </c>
      <c r="G238" s="442">
        <f t="shared" si="92"/>
        <v>-15949</v>
      </c>
      <c r="H238" s="442">
        <f t="shared" si="92"/>
        <v>-29687.642252323392</v>
      </c>
      <c r="I238" s="442">
        <f t="shared" si="92"/>
        <v>-35366.016685117866</v>
      </c>
      <c r="J238" s="442">
        <f t="shared" si="92"/>
        <v>-42663.285584482554</v>
      </c>
      <c r="K238" s="442">
        <f t="shared" si="92"/>
        <v>-48009.305459334166</v>
      </c>
      <c r="L238" s="13"/>
    </row>
    <row r="239" spans="1:12" x14ac:dyDescent="0.3">
      <c r="A239" s="241" t="s">
        <v>495</v>
      </c>
      <c r="B239" s="408" t="s">
        <v>82</v>
      </c>
      <c r="C239" s="408" t="s">
        <v>82</v>
      </c>
      <c r="D239" s="408" t="s">
        <v>82</v>
      </c>
      <c r="E239" s="408" t="s">
        <v>82</v>
      </c>
      <c r="F239" s="408" t="s">
        <v>82</v>
      </c>
      <c r="G239" s="442" t="s">
        <v>82</v>
      </c>
      <c r="H239" s="442" t="s">
        <v>82</v>
      </c>
      <c r="I239" s="442" t="s">
        <v>82</v>
      </c>
      <c r="J239" s="442" t="s">
        <v>82</v>
      </c>
      <c r="K239" s="442" t="s">
        <v>82</v>
      </c>
      <c r="L239" s="13"/>
    </row>
    <row r="240" spans="1:12" x14ac:dyDescent="0.3">
      <c r="A240" s="241" t="s">
        <v>496</v>
      </c>
      <c r="B240" s="408">
        <v>4191</v>
      </c>
      <c r="C240" s="408">
        <v>-3725</v>
      </c>
      <c r="D240" s="408">
        <v>-3430</v>
      </c>
      <c r="E240" s="408">
        <v>-4815</v>
      </c>
      <c r="F240" s="408">
        <v>-441</v>
      </c>
      <c r="G240" s="442">
        <f>G242*G181</f>
        <v>-12515.158517857533</v>
      </c>
      <c r="H240" s="442">
        <f>H242*H181</f>
        <v>-4172.5971738551762</v>
      </c>
      <c r="I240" s="442">
        <f>I242*I181</f>
        <v>-5874.1488191006047</v>
      </c>
      <c r="J240" s="442">
        <f>J242*J181</f>
        <v>-3952.6506847400319</v>
      </c>
      <c r="K240" s="442">
        <f>K242*K181</f>
        <v>-4673.0864820196375</v>
      </c>
      <c r="L240" s="13"/>
    </row>
    <row r="241" spans="1:12" x14ac:dyDescent="0.3">
      <c r="A241" s="241" t="s">
        <v>497</v>
      </c>
      <c r="B241" s="144">
        <f>B240/B181</f>
        <v>0.11944594864194716</v>
      </c>
      <c r="C241" s="144">
        <f>C240/C181</f>
        <v>-4.426093155893536E-2</v>
      </c>
      <c r="D241" s="144">
        <f>D240/D181</f>
        <v>8.5782168313117413E-2</v>
      </c>
      <c r="E241" s="144">
        <f>E240/E181</f>
        <v>9.1060385422773601E-2</v>
      </c>
      <c r="F241" s="144">
        <f>F240/F181</f>
        <v>-0.24111536358665939</v>
      </c>
      <c r="G241" s="442"/>
      <c r="H241" s="442"/>
      <c r="I241" s="442"/>
      <c r="J241" s="442"/>
      <c r="K241" s="442"/>
      <c r="L241" s="13"/>
    </row>
    <row r="242" spans="1:12" x14ac:dyDescent="0.3">
      <c r="A242" s="241" t="s">
        <v>504</v>
      </c>
      <c r="B242" s="421">
        <f t="shared" ref="B242:E242" si="93">B241</f>
        <v>0.11944594864194716</v>
      </c>
      <c r="C242" s="421">
        <f t="shared" si="93"/>
        <v>-4.426093155893536E-2</v>
      </c>
      <c r="D242" s="421">
        <f t="shared" si="93"/>
        <v>8.5782168313117413E-2</v>
      </c>
      <c r="E242" s="421">
        <f t="shared" si="93"/>
        <v>9.1060385422773601E-2</v>
      </c>
      <c r="F242" s="422">
        <f>AVERAGE(B242:E242)</f>
        <v>6.3006892704725703E-2</v>
      </c>
      <c r="G242" s="444">
        <f t="shared" ref="G242:K242" si="94">AVERAGE(B242:F242)</f>
        <v>6.3006892704725703E-2</v>
      </c>
      <c r="H242" s="444">
        <f t="shared" si="94"/>
        <v>5.1719081517281419E-2</v>
      </c>
      <c r="I242" s="444">
        <f t="shared" si="94"/>
        <v>7.0915084132524772E-2</v>
      </c>
      <c r="J242" s="444">
        <f t="shared" si="94"/>
        <v>6.7941667296406244E-2</v>
      </c>
      <c r="K242" s="444">
        <f t="shared" si="94"/>
        <v>6.3317923671132759E-2</v>
      </c>
      <c r="L242" s="13"/>
    </row>
    <row r="243" spans="1:12" x14ac:dyDescent="0.3">
      <c r="A243" s="241" t="s">
        <v>254</v>
      </c>
      <c r="B243" s="408">
        <v>-123</v>
      </c>
      <c r="C243" s="408">
        <v>-1813</v>
      </c>
      <c r="D243" s="408">
        <v>-1544</v>
      </c>
      <c r="E243" s="408">
        <v>-1558</v>
      </c>
      <c r="F243" s="408">
        <v>13645</v>
      </c>
      <c r="G243" s="442">
        <f>G245*G183</f>
        <v>-1223.4837344658595</v>
      </c>
      <c r="H243" s="442">
        <f>H245*H183</f>
        <v>-1505.7772589393001</v>
      </c>
      <c r="I243" s="442">
        <f>I245*I183</f>
        <v>-1423.1200802640838</v>
      </c>
      <c r="J243" s="442">
        <f>J245*J183</f>
        <v>-1393.3691901115824</v>
      </c>
      <c r="K243" s="442">
        <f>K245*K183</f>
        <v>-1352.5613893581069</v>
      </c>
      <c r="L243" s="13"/>
    </row>
    <row r="244" spans="1:12" x14ac:dyDescent="0.3">
      <c r="A244" s="241" t="s">
        <v>499</v>
      </c>
      <c r="B244" s="144">
        <f>B243/B182</f>
        <v>-2.6797385620915031E-2</v>
      </c>
      <c r="C244" s="144">
        <f>C243/C182</f>
        <v>-3.1829353932584271E-2</v>
      </c>
      <c r="D244" s="144">
        <f>D243/D182</f>
        <v>-3.4945567299640136E-2</v>
      </c>
      <c r="E244" s="144">
        <f>E243/E182</f>
        <v>-4.8272656855151044E-2</v>
      </c>
      <c r="F244" s="144">
        <f>F243/F182</f>
        <v>4.7057403479730316E-2</v>
      </c>
      <c r="G244" s="442"/>
      <c r="H244" s="442"/>
      <c r="I244" s="442"/>
      <c r="J244" s="442"/>
      <c r="K244" s="442"/>
      <c r="L244" s="13"/>
    </row>
    <row r="245" spans="1:12" x14ac:dyDescent="0.3">
      <c r="A245" s="241" t="s">
        <v>500</v>
      </c>
      <c r="B245" s="421">
        <f t="shared" ref="B245:E245" si="95">B244</f>
        <v>-2.6797385620915031E-2</v>
      </c>
      <c r="C245" s="421">
        <f t="shared" si="95"/>
        <v>-3.1829353932584271E-2</v>
      </c>
      <c r="D245" s="421">
        <f t="shared" si="95"/>
        <v>-3.4945567299640136E-2</v>
      </c>
      <c r="E245" s="421">
        <f t="shared" si="95"/>
        <v>-4.8272656855151044E-2</v>
      </c>
      <c r="F245" s="422">
        <f>AVERAGE(B245:E245)</f>
        <v>-3.5461240927072618E-2</v>
      </c>
      <c r="G245" s="444">
        <f t="shared" ref="G245:K245" si="96">AVERAGE(B245:F245)</f>
        <v>-3.5461240927072618E-2</v>
      </c>
      <c r="H245" s="444">
        <f t="shared" si="96"/>
        <v>-3.7194011988304139E-2</v>
      </c>
      <c r="I245" s="444">
        <f t="shared" si="96"/>
        <v>-3.8266943599448114E-2</v>
      </c>
      <c r="J245" s="444">
        <f t="shared" si="96"/>
        <v>-3.8931218859409714E-2</v>
      </c>
      <c r="K245" s="444">
        <f t="shared" si="96"/>
        <v>-3.7062931260261431E-2</v>
      </c>
      <c r="L245" s="13"/>
    </row>
    <row r="246" spans="1:12" x14ac:dyDescent="0.3">
      <c r="A246" s="241" t="s">
        <v>501</v>
      </c>
      <c r="B246" s="72" t="s">
        <v>82</v>
      </c>
      <c r="C246" s="72" t="s">
        <v>82</v>
      </c>
      <c r="D246" s="408" t="s">
        <v>82</v>
      </c>
      <c r="E246" s="408" t="s">
        <v>82</v>
      </c>
      <c r="F246" s="408" t="s">
        <v>82</v>
      </c>
      <c r="G246" s="442" t="s">
        <v>82</v>
      </c>
      <c r="H246" s="442" t="s">
        <v>82</v>
      </c>
      <c r="I246" s="442" t="s">
        <v>82</v>
      </c>
      <c r="J246" s="442" t="s">
        <v>82</v>
      </c>
      <c r="K246" s="442" t="s">
        <v>82</v>
      </c>
      <c r="L246" s="13"/>
    </row>
    <row r="247" spans="1:12" ht="15" thickBot="1" x14ac:dyDescent="0.35">
      <c r="A247" t="s">
        <v>493</v>
      </c>
      <c r="B247" s="420">
        <f>B238+B240+B243</f>
        <v>-12268</v>
      </c>
      <c r="C247" s="420">
        <f>C238+C240+C243</f>
        <v>-17806</v>
      </c>
      <c r="D247" s="420">
        <f t="shared" ref="D247:K247" si="97">D238+D240+D243</f>
        <v>-22780</v>
      </c>
      <c r="E247" s="420">
        <f t="shared" si="97"/>
        <v>-29153</v>
      </c>
      <c r="F247" s="420">
        <f t="shared" si="97"/>
        <v>-15949</v>
      </c>
      <c r="G247" s="441">
        <f t="shared" si="97"/>
        <v>-29687.642252323392</v>
      </c>
      <c r="H247" s="441">
        <f t="shared" si="97"/>
        <v>-35366.016685117866</v>
      </c>
      <c r="I247" s="441">
        <f t="shared" si="97"/>
        <v>-42663.285584482554</v>
      </c>
      <c r="J247" s="441">
        <f t="shared" si="97"/>
        <v>-48009.305459334166</v>
      </c>
      <c r="K247" s="441">
        <f t="shared" si="97"/>
        <v>-54034.953330711913</v>
      </c>
      <c r="L247" s="13"/>
    </row>
    <row r="248" spans="1:12" ht="15" thickTop="1" x14ac:dyDescent="0.3">
      <c r="A248" s="240"/>
      <c r="B248" s="401"/>
      <c r="C248" s="401"/>
      <c r="D248" s="401"/>
      <c r="E248" s="401"/>
      <c r="F248" s="401"/>
      <c r="G248" s="431"/>
      <c r="H248" s="431"/>
      <c r="I248" s="431"/>
      <c r="J248" s="431"/>
      <c r="K248" s="431"/>
      <c r="L248" s="13"/>
    </row>
    <row r="249" spans="1:12" x14ac:dyDescent="0.3">
      <c r="A249" s="240" t="s">
        <v>181</v>
      </c>
      <c r="B249" s="407"/>
      <c r="C249" s="407"/>
      <c r="D249" s="407"/>
      <c r="E249" s="407"/>
      <c r="F249" s="407"/>
      <c r="G249" s="431"/>
      <c r="H249" s="431"/>
      <c r="I249" s="431"/>
      <c r="J249" s="431"/>
      <c r="K249" s="431"/>
      <c r="L249" s="13"/>
    </row>
    <row r="250" spans="1:12" x14ac:dyDescent="0.3">
      <c r="A250" t="s">
        <v>444</v>
      </c>
      <c r="B250" s="423">
        <v>-242289</v>
      </c>
      <c r="C250" s="423">
        <f t="shared" ref="C250:K250" si="98">B258</f>
        <v>-204212</v>
      </c>
      <c r="D250" s="423">
        <f t="shared" si="98"/>
        <v>-111021</v>
      </c>
      <c r="E250" s="423">
        <f t="shared" si="98"/>
        <v>-256257</v>
      </c>
      <c r="F250" s="423">
        <f t="shared" si="98"/>
        <v>-273228</v>
      </c>
      <c r="G250" s="445">
        <f t="shared" si="98"/>
        <v>-431633</v>
      </c>
      <c r="H250" s="445">
        <f t="shared" si="98"/>
        <v>-556517.37173448049</v>
      </c>
      <c r="I250" s="445">
        <f t="shared" si="98"/>
        <v>-616328.36336710886</v>
      </c>
      <c r="J250" s="445">
        <f t="shared" si="98"/>
        <v>-662508.31197262194</v>
      </c>
      <c r="K250" s="445">
        <f t="shared" si="98"/>
        <v>-700827.51112067467</v>
      </c>
      <c r="L250" s="13"/>
    </row>
    <row r="251" spans="1:12" x14ac:dyDescent="0.3">
      <c r="A251" s="241" t="s">
        <v>495</v>
      </c>
      <c r="B251" s="72" t="s">
        <v>82</v>
      </c>
      <c r="C251" s="72" t="s">
        <v>82</v>
      </c>
      <c r="D251" s="423">
        <v>-105128</v>
      </c>
      <c r="E251" s="72" t="s">
        <v>82</v>
      </c>
      <c r="F251" s="72" t="s">
        <v>82</v>
      </c>
      <c r="G251" s="358" t="s">
        <v>82</v>
      </c>
      <c r="H251" s="358" t="s">
        <v>82</v>
      </c>
      <c r="I251" s="358" t="s">
        <v>82</v>
      </c>
      <c r="J251" s="358" t="s">
        <v>82</v>
      </c>
      <c r="K251" s="358" t="s">
        <v>82</v>
      </c>
      <c r="L251" s="13"/>
    </row>
    <row r="252" spans="1:12" x14ac:dyDescent="0.3">
      <c r="A252" s="241" t="s">
        <v>496</v>
      </c>
      <c r="B252" s="423">
        <v>35239</v>
      </c>
      <c r="C252" s="423">
        <v>119602</v>
      </c>
      <c r="D252" s="423">
        <v>1364</v>
      </c>
      <c r="E252" s="423">
        <v>5724</v>
      </c>
      <c r="F252" s="423">
        <v>-49891</v>
      </c>
      <c r="G252" s="445">
        <f>G190+G204+G216+G228+G240</f>
        <v>-113373.66566166501</v>
      </c>
      <c r="H252" s="445">
        <f t="shared" ref="H252:K252" si="99">H190+H204+H216+H228+H240</f>
        <v>-39053.196391993675</v>
      </c>
      <c r="I252" s="445">
        <f t="shared" si="99"/>
        <v>-24572.495212109156</v>
      </c>
      <c r="J252" s="445">
        <f t="shared" si="99"/>
        <v>-21106.741271731073</v>
      </c>
      <c r="K252" s="445">
        <f t="shared" si="99"/>
        <v>-33729.09457390396</v>
      </c>
      <c r="L252" s="13"/>
    </row>
    <row r="253" spans="1:12" x14ac:dyDescent="0.3">
      <c r="A253" s="241"/>
      <c r="B253" s="423"/>
      <c r="C253" s="423"/>
      <c r="D253" s="423"/>
      <c r="E253" s="423"/>
      <c r="F253" s="423"/>
      <c r="G253" s="445"/>
      <c r="H253" s="445"/>
      <c r="I253" s="445"/>
      <c r="J253" s="445"/>
      <c r="K253" s="445"/>
      <c r="L253" s="13"/>
    </row>
    <row r="254" spans="1:12" x14ac:dyDescent="0.3">
      <c r="A254" s="241"/>
      <c r="B254" s="423"/>
      <c r="C254" s="423"/>
      <c r="D254" s="423"/>
      <c r="E254" s="423"/>
      <c r="F254" s="423"/>
      <c r="G254" s="445"/>
      <c r="H254" s="445"/>
      <c r="I254" s="445"/>
      <c r="J254" s="445"/>
      <c r="K254" s="445"/>
      <c r="L254" s="13"/>
    </row>
    <row r="255" spans="1:12" x14ac:dyDescent="0.3">
      <c r="A255" s="241" t="s">
        <v>254</v>
      </c>
      <c r="B255" s="423">
        <v>-2159</v>
      </c>
      <c r="C255" s="423">
        <v>-21542</v>
      </c>
      <c r="D255" s="423">
        <v>-25696</v>
      </c>
      <c r="E255" s="423">
        <v>-14212</v>
      </c>
      <c r="F255" s="423">
        <v>-136172</v>
      </c>
      <c r="G255" s="445">
        <f>G243+G231+G219+G207+G196</f>
        <v>-9592.4964016032736</v>
      </c>
      <c r="H255" s="445">
        <f t="shared" ref="H255:K255" si="100">H243+H231+H219+H207+H196</f>
        <v>-18941.751461124579</v>
      </c>
      <c r="I255" s="445">
        <f t="shared" si="100"/>
        <v>-17881.398750321812</v>
      </c>
      <c r="J255" s="445">
        <f t="shared" si="100"/>
        <v>-14724.281537568559</v>
      </c>
      <c r="K255" s="445">
        <f t="shared" si="100"/>
        <v>-13985.496532233085</v>
      </c>
      <c r="L255" s="13"/>
    </row>
    <row r="256" spans="1:12" x14ac:dyDescent="0.3">
      <c r="A256" s="241" t="s">
        <v>501</v>
      </c>
      <c r="B256" s="423">
        <v>4997</v>
      </c>
      <c r="C256" s="423">
        <v>-4869</v>
      </c>
      <c r="D256" s="423">
        <v>-15776</v>
      </c>
      <c r="E256" s="423">
        <v>-8483</v>
      </c>
      <c r="F256" s="423">
        <v>27658</v>
      </c>
      <c r="G256" s="445">
        <f>G257*G162</f>
        <v>-1918.2096712122443</v>
      </c>
      <c r="H256" s="445">
        <f>H257*H162</f>
        <v>-1816.0437795100156</v>
      </c>
      <c r="I256" s="445">
        <f>I257*I162</f>
        <v>-3726.0546430820723</v>
      </c>
      <c r="J256" s="445">
        <f>J257*J162</f>
        <v>-2488.1763387531205</v>
      </c>
      <c r="K256" s="445">
        <f>K257*K162</f>
        <v>-146.62546192886029</v>
      </c>
      <c r="L256" s="13"/>
    </row>
    <row r="257" spans="1:12" x14ac:dyDescent="0.3">
      <c r="A257" s="241" t="s">
        <v>508</v>
      </c>
      <c r="B257" s="424">
        <f t="shared" ref="B257:F257" si="101">B256/B162</f>
        <v>-3.9953625969457104E-2</v>
      </c>
      <c r="C257" s="424">
        <f t="shared" si="101"/>
        <v>4.3856567676385551E-2</v>
      </c>
      <c r="D257" s="424">
        <f t="shared" si="101"/>
        <v>6.1563196322441921E-2</v>
      </c>
      <c r="E257" s="424">
        <f t="shared" si="101"/>
        <v>3.1047330434655306E-2</v>
      </c>
      <c r="F257" s="424">
        <f t="shared" si="101"/>
        <v>-6.4077584429364759E-2</v>
      </c>
      <c r="G257" s="446">
        <f>AVERAGE(B257:F257)</f>
        <v>6.487176806932185E-3</v>
      </c>
      <c r="H257" s="446">
        <f t="shared" ref="H257:K257" si="102">AVERAGE(B257:G257)</f>
        <v>6.487176806932185E-3</v>
      </c>
      <c r="I257" s="446">
        <f t="shared" si="102"/>
        <v>1.4227310602997062E-2</v>
      </c>
      <c r="J257" s="446">
        <f t="shared" si="102"/>
        <v>9.2891010907656512E-3</v>
      </c>
      <c r="K257" s="446">
        <f t="shared" si="102"/>
        <v>5.7675188548627233E-4</v>
      </c>
      <c r="L257" s="13"/>
    </row>
    <row r="258" spans="1:12" ht="15" thickBot="1" x14ac:dyDescent="0.35">
      <c r="A258" t="s">
        <v>493</v>
      </c>
      <c r="B258" s="402">
        <f t="shared" ref="B258:K258" si="103">B250+B252+B255+B256</f>
        <v>-204212</v>
      </c>
      <c r="C258" s="402">
        <f t="shared" si="103"/>
        <v>-111021</v>
      </c>
      <c r="D258" s="402">
        <f>D250+D252+D255+D256+D251</f>
        <v>-256257</v>
      </c>
      <c r="E258" s="402">
        <f t="shared" si="103"/>
        <v>-273228</v>
      </c>
      <c r="F258" s="402">
        <f t="shared" si="103"/>
        <v>-431633</v>
      </c>
      <c r="G258" s="427">
        <f t="shared" si="103"/>
        <v>-556517.37173448049</v>
      </c>
      <c r="H258" s="427">
        <f t="shared" si="103"/>
        <v>-616328.36336710886</v>
      </c>
      <c r="I258" s="427">
        <f t="shared" si="103"/>
        <v>-662508.31197262194</v>
      </c>
      <c r="J258" s="427">
        <f t="shared" si="103"/>
        <v>-700827.51112067467</v>
      </c>
      <c r="K258" s="427">
        <f t="shared" si="103"/>
        <v>-748688.72768874059</v>
      </c>
      <c r="L258" s="13"/>
    </row>
    <row r="259" spans="1:12" ht="15" thickTop="1" x14ac:dyDescent="0.3">
      <c r="A259" s="240"/>
      <c r="B259" s="240"/>
      <c r="C259" s="240"/>
      <c r="D259" s="240"/>
      <c r="E259" s="240"/>
      <c r="F259" s="240"/>
      <c r="G259" s="240"/>
      <c r="H259" s="240"/>
      <c r="I259" s="240"/>
      <c r="J259" s="240"/>
      <c r="K259" s="240"/>
      <c r="L259" s="13"/>
    </row>
    <row r="260" spans="1:12" x14ac:dyDescent="0.3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</row>
    <row r="261" spans="1:12" x14ac:dyDescent="0.3">
      <c r="A261" s="240"/>
      <c r="B261" s="240"/>
      <c r="C261" s="240"/>
      <c r="D261" s="240"/>
      <c r="E261" s="240"/>
      <c r="F261" s="240"/>
      <c r="G261" s="240"/>
      <c r="H261" s="240"/>
      <c r="I261" s="240"/>
      <c r="J261" s="240"/>
      <c r="K261" s="240"/>
    </row>
    <row r="262" spans="1:12" x14ac:dyDescent="0.3">
      <c r="A262" s="240"/>
      <c r="B262" s="240"/>
      <c r="C262" s="240"/>
      <c r="D262" s="240"/>
      <c r="E262" s="240"/>
      <c r="F262" s="240"/>
      <c r="G262" s="240"/>
      <c r="H262" s="240"/>
      <c r="I262" s="240"/>
      <c r="J262" s="240"/>
      <c r="K262" s="240"/>
    </row>
  </sheetData>
  <pageMargins left="0.7" right="0.7" top="0.75" bottom="0.75" header="0.3" footer="0.3"/>
  <pageSetup paperSize="9" orientation="portrait" r:id="rId1"/>
  <ignoredErrors>
    <ignoredError sqref="G122:K122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1"/>
  <sheetViews>
    <sheetView topLeftCell="A13" zoomScale="85" zoomScaleNormal="85" workbookViewId="0">
      <selection activeCell="A3" sqref="A3"/>
    </sheetView>
  </sheetViews>
  <sheetFormatPr defaultRowHeight="14.4" x14ac:dyDescent="0.3"/>
  <cols>
    <col min="1" max="1" width="60.5546875" customWidth="1"/>
    <col min="2" max="2" width="19.88671875" style="86" customWidth="1"/>
    <col min="3" max="5" width="14" bestFit="1" customWidth="1"/>
    <col min="6" max="6" width="15.33203125" bestFit="1" customWidth="1"/>
    <col min="7" max="7" width="14" customWidth="1"/>
    <col min="8" max="11" width="15" bestFit="1" customWidth="1"/>
  </cols>
  <sheetData>
    <row r="1" spans="1:12" x14ac:dyDescent="0.3">
      <c r="A1" s="13"/>
      <c r="B1" s="90"/>
      <c r="C1" s="13"/>
      <c r="D1" s="13"/>
      <c r="E1" s="13"/>
      <c r="F1" s="13"/>
      <c r="G1" s="13"/>
      <c r="H1" s="13"/>
      <c r="I1" s="13"/>
      <c r="J1" s="13"/>
      <c r="K1" s="13"/>
      <c r="L1" s="13"/>
    </row>
    <row r="2" spans="1:12" x14ac:dyDescent="0.3">
      <c r="A2" s="13"/>
      <c r="B2" s="90"/>
      <c r="C2" s="13"/>
      <c r="D2" s="13"/>
      <c r="E2" s="13"/>
      <c r="F2" s="13"/>
      <c r="G2" s="13"/>
      <c r="H2" s="13"/>
      <c r="I2" s="13"/>
      <c r="J2" s="13"/>
      <c r="K2" s="13"/>
      <c r="L2" s="13"/>
    </row>
    <row r="3" spans="1:12" x14ac:dyDescent="0.3">
      <c r="A3" s="1" t="s">
        <v>453</v>
      </c>
      <c r="L3" s="13"/>
    </row>
    <row r="4" spans="1:12" x14ac:dyDescent="0.3">
      <c r="A4" t="s">
        <v>633</v>
      </c>
      <c r="L4" s="13"/>
    </row>
    <row r="5" spans="1:12" x14ac:dyDescent="0.3">
      <c r="A5" t="s">
        <v>512</v>
      </c>
      <c r="L5" s="13"/>
    </row>
    <row r="6" spans="1:12" x14ac:dyDescent="0.3">
      <c r="L6" s="13"/>
    </row>
    <row r="7" spans="1:12" x14ac:dyDescent="0.3">
      <c r="L7" s="13"/>
    </row>
    <row r="8" spans="1:12" ht="15.6" x14ac:dyDescent="0.3">
      <c r="A8" s="10" t="s">
        <v>74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3"/>
    </row>
    <row r="9" spans="1:12" ht="15.6" x14ac:dyDescent="0.3">
      <c r="A9" s="10" t="s">
        <v>152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3"/>
    </row>
    <row r="10" spans="1:12" x14ac:dyDescent="0.3">
      <c r="B10" s="97">
        <v>2018</v>
      </c>
      <c r="C10" s="122">
        <v>2019</v>
      </c>
      <c r="D10" s="97">
        <v>2020</v>
      </c>
      <c r="E10" s="97">
        <v>2021</v>
      </c>
      <c r="F10" s="97">
        <v>2022</v>
      </c>
      <c r="G10" s="119">
        <v>2023</v>
      </c>
      <c r="H10" s="119">
        <v>2024</v>
      </c>
      <c r="I10" s="119">
        <v>2025</v>
      </c>
      <c r="J10" s="119">
        <v>2026</v>
      </c>
      <c r="K10" s="119">
        <v>2027</v>
      </c>
      <c r="L10" s="13"/>
    </row>
    <row r="11" spans="1:12" s="1" customFormat="1" x14ac:dyDescent="0.3">
      <c r="A11" s="85" t="s">
        <v>153</v>
      </c>
      <c r="B11" s="87"/>
      <c r="C11" s="85"/>
      <c r="D11" s="85"/>
      <c r="E11" s="85"/>
      <c r="F11" s="85"/>
      <c r="G11" s="85"/>
      <c r="H11" s="85"/>
      <c r="I11" s="85"/>
      <c r="J11" s="85"/>
      <c r="K11" s="85"/>
      <c r="L11" s="13"/>
    </row>
    <row r="12" spans="1:12" x14ac:dyDescent="0.3">
      <c r="A12" t="s">
        <v>154</v>
      </c>
      <c r="B12" s="72">
        <v>3111271</v>
      </c>
      <c r="C12" s="74">
        <v>3774400</v>
      </c>
      <c r="D12" s="74">
        <v>4209437</v>
      </c>
      <c r="E12" s="74">
        <v>2723558</v>
      </c>
      <c r="F12" s="74">
        <v>5081356</v>
      </c>
      <c r="G12" s="355">
        <f>-G37-G38+G32</f>
        <v>8997414.7723940536</v>
      </c>
      <c r="H12" s="355">
        <f t="shared" ref="H12:K12" si="0">-H37-H38+H32</f>
        <v>7071006.4395253193</v>
      </c>
      <c r="I12" s="355">
        <f t="shared" si="0"/>
        <v>7413765.2465812219</v>
      </c>
      <c r="J12" s="355">
        <f t="shared" si="0"/>
        <v>7455371.0488617066</v>
      </c>
      <c r="K12" s="355">
        <f t="shared" si="0"/>
        <v>8581165.0421221629</v>
      </c>
      <c r="L12" s="13"/>
    </row>
    <row r="13" spans="1:12" x14ac:dyDescent="0.3">
      <c r="A13" t="s">
        <v>155</v>
      </c>
      <c r="B13" s="72">
        <v>65133</v>
      </c>
      <c r="C13" s="74">
        <v>101899</v>
      </c>
      <c r="D13" s="74">
        <v>120065</v>
      </c>
      <c r="E13" s="74">
        <v>186842</v>
      </c>
      <c r="F13" s="74">
        <v>154745</v>
      </c>
      <c r="G13" s="175">
        <f>+'P&amp;L Working'!G67</f>
        <v>136447.47906151362</v>
      </c>
      <c r="H13" s="175">
        <f>+'P&amp;L Working'!H67</f>
        <v>153832.35067326773</v>
      </c>
      <c r="I13" s="175">
        <f>+'P&amp;L Working'!I67</f>
        <v>154410.5875429752</v>
      </c>
      <c r="J13" s="175">
        <f>+'P&amp;L Working'!J67</f>
        <v>160138.44511104253</v>
      </c>
      <c r="K13" s="175">
        <f>+'P&amp;L Working'!K67</f>
        <v>154861.2261803259</v>
      </c>
      <c r="L13" s="13"/>
    </row>
    <row r="14" spans="1:12" x14ac:dyDescent="0.3">
      <c r="A14" t="s">
        <v>156</v>
      </c>
      <c r="B14" s="72">
        <v>-99423</v>
      </c>
      <c r="C14" s="74">
        <v>-159980</v>
      </c>
      <c r="D14" s="74">
        <v>-112865</v>
      </c>
      <c r="E14" s="74">
        <v>-70962</v>
      </c>
      <c r="F14" s="74">
        <v>-96504</v>
      </c>
      <c r="G14" s="175">
        <f>+'P&amp;L Working'!G78</f>
        <v>-316132.18434485904</v>
      </c>
      <c r="H14" s="175">
        <f>+'P&amp;L Working'!H78</f>
        <v>-287820.24862596567</v>
      </c>
      <c r="I14" s="175">
        <f>+'P&amp;L Working'!I78</f>
        <v>-254366.06251647556</v>
      </c>
      <c r="J14" s="175">
        <f>+'P&amp;L Working'!J78</f>
        <v>-214553.83392642476</v>
      </c>
      <c r="K14" s="175">
        <f>+'P&amp;L Working'!K78</f>
        <v>-169412.69091861034</v>
      </c>
      <c r="L14" s="13"/>
    </row>
    <row r="15" spans="1:12" x14ac:dyDescent="0.3">
      <c r="A15" t="s">
        <v>167</v>
      </c>
      <c r="B15" s="72">
        <v>-35887</v>
      </c>
      <c r="C15" s="74">
        <v>-35091</v>
      </c>
      <c r="D15" s="74">
        <v>-62845</v>
      </c>
      <c r="E15" s="74">
        <v>-29044</v>
      </c>
      <c r="F15" s="74">
        <v>-71497</v>
      </c>
      <c r="G15" s="175">
        <f>+AVERAGE(B15:F15)</f>
        <v>-46872.800000000003</v>
      </c>
      <c r="H15" s="175">
        <f t="shared" ref="H15:K15" si="1">+AVERAGE(C15:G15)</f>
        <v>-49069.96</v>
      </c>
      <c r="I15" s="175">
        <f t="shared" si="1"/>
        <v>-51865.751999999993</v>
      </c>
      <c r="J15" s="175">
        <f t="shared" si="1"/>
        <v>-49669.902399999999</v>
      </c>
      <c r="K15" s="175">
        <f t="shared" si="1"/>
        <v>-53795.082880000002</v>
      </c>
      <c r="L15" s="13"/>
    </row>
    <row r="16" spans="1:12" x14ac:dyDescent="0.3">
      <c r="A16" t="s">
        <v>157</v>
      </c>
      <c r="B16" s="72">
        <v>-30711</v>
      </c>
      <c r="C16" s="74">
        <v>-96220</v>
      </c>
      <c r="D16" s="74">
        <v>-305159</v>
      </c>
      <c r="E16" s="74">
        <v>-466630</v>
      </c>
      <c r="F16" s="74">
        <v>-301995</v>
      </c>
      <c r="G16" s="175">
        <f>+'P&amp;L-SOFP-Ratios'!G5*G51</f>
        <v>-378635.4673211085</v>
      </c>
      <c r="H16" s="175">
        <f>+'P&amp;L-SOFP-Ratios'!H5*H51</f>
        <v>-497494.76950392593</v>
      </c>
      <c r="I16" s="175">
        <f>+'P&amp;L-SOFP-Ratios'!I5*I51</f>
        <v>-640215.77084870462</v>
      </c>
      <c r="J16" s="175">
        <f>+'P&amp;L-SOFP-Ratios'!J5*J51</f>
        <v>-740550.56357243506</v>
      </c>
      <c r="K16" s="175">
        <f>+'P&amp;L-SOFP-Ratios'!K5*K51</f>
        <v>-740551.38409360254</v>
      </c>
      <c r="L16" s="13"/>
    </row>
    <row r="17" spans="1:12" x14ac:dyDescent="0.3">
      <c r="A17" s="81" t="s">
        <v>158</v>
      </c>
      <c r="B17" s="353">
        <v>3010383</v>
      </c>
      <c r="C17" s="113">
        <f>SUM(C12:C16)</f>
        <v>3585008</v>
      </c>
      <c r="D17" s="113">
        <f t="shared" ref="D17:K17" si="2">SUM(D12:D16)</f>
        <v>3848633</v>
      </c>
      <c r="E17" s="113">
        <f t="shared" si="2"/>
        <v>2343764</v>
      </c>
      <c r="F17" s="113">
        <f t="shared" si="2"/>
        <v>4766105</v>
      </c>
      <c r="G17" s="356">
        <f t="shared" si="2"/>
        <v>8392221.7997895982</v>
      </c>
      <c r="H17" s="356">
        <f t="shared" si="2"/>
        <v>6390453.8120686952</v>
      </c>
      <c r="I17" s="356">
        <f t="shared" si="2"/>
        <v>6621728.2487590164</v>
      </c>
      <c r="J17" s="356">
        <f t="shared" si="2"/>
        <v>6610735.1940738903</v>
      </c>
      <c r="K17" s="356">
        <f t="shared" si="2"/>
        <v>7772267.1104102777</v>
      </c>
      <c r="L17" s="13"/>
    </row>
    <row r="18" spans="1:12" s="1" customFormat="1" x14ac:dyDescent="0.3">
      <c r="A18" s="1" t="s">
        <v>168</v>
      </c>
      <c r="B18" s="343"/>
      <c r="C18" s="354"/>
      <c r="D18" s="354"/>
      <c r="E18" s="354"/>
      <c r="F18" s="354"/>
      <c r="G18" s="357"/>
      <c r="H18" s="357"/>
      <c r="I18" s="357"/>
      <c r="J18" s="357"/>
      <c r="K18" s="357"/>
      <c r="L18" s="13"/>
    </row>
    <row r="19" spans="1:12" x14ac:dyDescent="0.3">
      <c r="A19" t="s">
        <v>177</v>
      </c>
      <c r="B19" s="72">
        <v>-1673005</v>
      </c>
      <c r="C19" s="74">
        <v>-812944</v>
      </c>
      <c r="D19" s="74">
        <v>-1461606</v>
      </c>
      <c r="E19" s="74">
        <v>-715459</v>
      </c>
      <c r="F19" s="74">
        <v>-5962561</v>
      </c>
      <c r="G19" s="175">
        <f>-PPE!G182</f>
        <v>-1165753.25</v>
      </c>
      <c r="H19" s="175">
        <f>-PPE!H182</f>
        <v>-1064302.8999999999</v>
      </c>
      <c r="I19" s="175">
        <f>-PPE!I182</f>
        <v>-1114574.6800000002</v>
      </c>
      <c r="J19" s="175">
        <f>-PPE!J182</f>
        <v>-1045168.416</v>
      </c>
      <c r="K19" s="175">
        <f>-PPE!K182</f>
        <v>-1111110.4992</v>
      </c>
      <c r="L19" s="13"/>
    </row>
    <row r="20" spans="1:12" x14ac:dyDescent="0.3">
      <c r="A20" t="s">
        <v>169</v>
      </c>
      <c r="B20" s="72">
        <v>450292</v>
      </c>
      <c r="C20" s="74">
        <v>236008</v>
      </c>
      <c r="D20" s="74">
        <v>-414055</v>
      </c>
      <c r="E20" s="74">
        <v>-712197</v>
      </c>
      <c r="F20" s="74">
        <v>-142524</v>
      </c>
      <c r="G20" s="175">
        <f>+AVERAGE(B20:F20)</f>
        <v>-116495.2</v>
      </c>
      <c r="H20" s="175">
        <f t="shared" ref="H20:K20" si="3">+AVERAGE(C20:G20)</f>
        <v>-229852.63999999998</v>
      </c>
      <c r="I20" s="175">
        <f t="shared" si="3"/>
        <v>-323024.76799999998</v>
      </c>
      <c r="J20" s="175">
        <f t="shared" si="3"/>
        <v>-304818.72159999993</v>
      </c>
      <c r="K20" s="175">
        <f t="shared" si="3"/>
        <v>-223343.06591999996</v>
      </c>
      <c r="L20" s="13"/>
    </row>
    <row r="21" spans="1:12" x14ac:dyDescent="0.3">
      <c r="A21" t="s">
        <v>170</v>
      </c>
      <c r="B21" s="72" t="s">
        <v>171</v>
      </c>
      <c r="C21" s="74">
        <v>268</v>
      </c>
      <c r="D21" s="72" t="s">
        <v>82</v>
      </c>
      <c r="E21" s="72" t="s">
        <v>82</v>
      </c>
      <c r="F21" s="72" t="s">
        <v>82</v>
      </c>
      <c r="G21" s="358" t="s">
        <v>82</v>
      </c>
      <c r="H21" s="358" t="s">
        <v>82</v>
      </c>
      <c r="I21" s="358" t="s">
        <v>82</v>
      </c>
      <c r="J21" s="358" t="s">
        <v>82</v>
      </c>
      <c r="K21" s="358" t="s">
        <v>82</v>
      </c>
      <c r="L21" s="13"/>
    </row>
    <row r="22" spans="1:12" x14ac:dyDescent="0.3">
      <c r="A22" s="81" t="s">
        <v>159</v>
      </c>
      <c r="B22" s="353">
        <v>-1222713</v>
      </c>
      <c r="C22" s="113">
        <f>SUM(C19:C21)</f>
        <v>-576668</v>
      </c>
      <c r="D22" s="113">
        <f t="shared" ref="D22:K22" si="4">SUM(D19:D21)</f>
        <v>-1875661</v>
      </c>
      <c r="E22" s="113">
        <f t="shared" si="4"/>
        <v>-1427656</v>
      </c>
      <c r="F22" s="113">
        <f t="shared" si="4"/>
        <v>-6105085</v>
      </c>
      <c r="G22" s="356">
        <f t="shared" si="4"/>
        <v>-1282248.45</v>
      </c>
      <c r="H22" s="356">
        <f t="shared" si="4"/>
        <v>-1294155.5399999998</v>
      </c>
      <c r="I22" s="356">
        <f t="shared" si="4"/>
        <v>-1437599.4480000001</v>
      </c>
      <c r="J22" s="356">
        <f t="shared" si="4"/>
        <v>-1349987.1376</v>
      </c>
      <c r="K22" s="356">
        <f t="shared" si="4"/>
        <v>-1334453.5651199999</v>
      </c>
      <c r="L22" s="13"/>
    </row>
    <row r="23" spans="1:12" x14ac:dyDescent="0.3">
      <c r="A23" s="1" t="s">
        <v>160</v>
      </c>
      <c r="B23" s="354"/>
      <c r="C23" s="354"/>
      <c r="D23" s="354"/>
      <c r="E23" s="354"/>
      <c r="F23" s="354"/>
      <c r="G23" s="357"/>
      <c r="H23" s="357"/>
      <c r="I23" s="357"/>
      <c r="J23" s="357"/>
      <c r="K23" s="357"/>
      <c r="L23" s="13"/>
    </row>
    <row r="24" spans="1:12" x14ac:dyDescent="0.3">
      <c r="A24" t="s">
        <v>161</v>
      </c>
      <c r="B24" s="72">
        <v>-1368816</v>
      </c>
      <c r="C24" s="74">
        <v>-1228424</v>
      </c>
      <c r="D24" s="74">
        <v>-1684696</v>
      </c>
      <c r="E24" s="74">
        <v>-1170382</v>
      </c>
      <c r="F24" s="74">
        <v>-1433480</v>
      </c>
      <c r="G24" s="175">
        <f>+'Changes in Equity'!G42</f>
        <v>-2576711.5909295185</v>
      </c>
      <c r="H24" s="175">
        <f>+'Changes in Equity'!H42</f>
        <v>-2831637.8661803277</v>
      </c>
      <c r="I24" s="175">
        <f>+'Changes in Equity'!I42</f>
        <v>-3283950.6197212641</v>
      </c>
      <c r="J24" s="175">
        <f>+'Changes in Equity'!J42</f>
        <v>-3790732.354342828</v>
      </c>
      <c r="K24" s="175">
        <f>+'Changes in Equity'!K42</f>
        <v>-4145247.699442477</v>
      </c>
      <c r="L24" s="13"/>
    </row>
    <row r="25" spans="1:12" x14ac:dyDescent="0.3">
      <c r="A25" t="s">
        <v>162</v>
      </c>
      <c r="B25" s="72">
        <v>-43380</v>
      </c>
      <c r="C25" s="74">
        <v>-332060</v>
      </c>
      <c r="D25" s="74">
        <v>-330449</v>
      </c>
      <c r="E25" s="74">
        <v>-104484</v>
      </c>
      <c r="F25" s="74">
        <v>-4493306</v>
      </c>
      <c r="G25" s="175">
        <f>+'SOFP working'!G43</f>
        <v>-1060735.8</v>
      </c>
      <c r="H25" s="175">
        <f>+'SOFP working'!H43</f>
        <v>-1264206.96</v>
      </c>
      <c r="I25" s="175">
        <f>+'SOFP working'!I43</f>
        <v>-1450636.352</v>
      </c>
      <c r="J25" s="175">
        <f>+'SOFP working'!J43</f>
        <v>-1674673.8223999999</v>
      </c>
      <c r="K25" s="175">
        <f>+'SOFP working'!K43</f>
        <v>-1988711.78688</v>
      </c>
      <c r="L25" s="13"/>
    </row>
    <row r="26" spans="1:12" x14ac:dyDescent="0.3">
      <c r="A26" t="s">
        <v>178</v>
      </c>
      <c r="B26" s="72" t="s">
        <v>101</v>
      </c>
      <c r="C26" s="72" t="s">
        <v>101</v>
      </c>
      <c r="D26" s="72" t="s">
        <v>101</v>
      </c>
      <c r="E26" s="74">
        <v>194525</v>
      </c>
      <c r="F26" s="74">
        <v>193447</v>
      </c>
      <c r="G26" s="164" t="s">
        <v>82</v>
      </c>
      <c r="H26" s="164" t="s">
        <v>82</v>
      </c>
      <c r="I26" s="164" t="s">
        <v>82</v>
      </c>
      <c r="J26" s="164" t="s">
        <v>82</v>
      </c>
      <c r="K26" s="164" t="s">
        <v>82</v>
      </c>
      <c r="L26" s="13"/>
    </row>
    <row r="27" spans="1:12" x14ac:dyDescent="0.3">
      <c r="A27" t="s">
        <v>179</v>
      </c>
      <c r="B27" s="72" t="s">
        <v>101</v>
      </c>
      <c r="C27" s="72" t="s">
        <v>101</v>
      </c>
      <c r="D27" s="72" t="s">
        <v>101</v>
      </c>
      <c r="E27" s="74">
        <v>-674496</v>
      </c>
      <c r="F27" s="72" t="s">
        <v>82</v>
      </c>
      <c r="G27" s="164" t="s">
        <v>82</v>
      </c>
      <c r="H27" s="164" t="s">
        <v>82</v>
      </c>
      <c r="I27" s="164" t="s">
        <v>82</v>
      </c>
      <c r="J27" s="164" t="s">
        <v>82</v>
      </c>
      <c r="K27" s="164" t="s">
        <v>82</v>
      </c>
      <c r="L27" s="13"/>
    </row>
    <row r="28" spans="1:12" x14ac:dyDescent="0.3">
      <c r="A28" t="s">
        <v>172</v>
      </c>
      <c r="B28" s="72">
        <v>757350</v>
      </c>
      <c r="C28" s="74">
        <v>81360</v>
      </c>
      <c r="D28" s="74">
        <v>886350</v>
      </c>
      <c r="E28" s="72" t="s">
        <v>82</v>
      </c>
      <c r="F28" s="132">
        <v>9164963</v>
      </c>
      <c r="G28" s="164" t="s">
        <v>82</v>
      </c>
      <c r="H28" s="164" t="s">
        <v>82</v>
      </c>
      <c r="I28" s="164" t="s">
        <v>82</v>
      </c>
      <c r="J28" s="164" t="s">
        <v>82</v>
      </c>
      <c r="K28" s="164" t="s">
        <v>82</v>
      </c>
      <c r="L28" s="13"/>
    </row>
    <row r="29" spans="1:12" x14ac:dyDescent="0.3">
      <c r="A29" t="s">
        <v>173</v>
      </c>
      <c r="B29" s="72">
        <v>113997</v>
      </c>
      <c r="C29" s="72" t="s">
        <v>101</v>
      </c>
      <c r="D29" s="72" t="s">
        <v>101</v>
      </c>
      <c r="E29" s="72" t="s">
        <v>82</v>
      </c>
      <c r="F29" s="72" t="s">
        <v>82</v>
      </c>
      <c r="G29" s="164" t="s">
        <v>82</v>
      </c>
      <c r="H29" s="164" t="s">
        <v>82</v>
      </c>
      <c r="I29" s="164" t="s">
        <v>82</v>
      </c>
      <c r="J29" s="164" t="s">
        <v>82</v>
      </c>
      <c r="K29" s="164" t="s">
        <v>82</v>
      </c>
      <c r="L29" s="13"/>
    </row>
    <row r="30" spans="1:12" x14ac:dyDescent="0.3">
      <c r="A30" t="s">
        <v>174</v>
      </c>
      <c r="B30" s="72" t="s">
        <v>101</v>
      </c>
      <c r="C30" s="72" t="s">
        <v>101</v>
      </c>
      <c r="D30" s="74">
        <v>-7638</v>
      </c>
      <c r="E30" s="72">
        <v>-59920</v>
      </c>
      <c r="F30" s="74">
        <v>-131046</v>
      </c>
      <c r="G30" s="175">
        <f>+PPE!G356</f>
        <v>-95559.662404131959</v>
      </c>
      <c r="H30" s="175">
        <f>+PPE!H356</f>
        <v>-101876.15473346892</v>
      </c>
      <c r="I30" s="175">
        <f>+PPE!I356</f>
        <v>-107986.04046522599</v>
      </c>
      <c r="J30" s="175">
        <f>+PPE!J356</f>
        <v>-108368.1995921162</v>
      </c>
      <c r="K30" s="175">
        <f>+PPE!K356</f>
        <v>-112988.36539379641</v>
      </c>
      <c r="L30" s="13"/>
    </row>
    <row r="31" spans="1:12" x14ac:dyDescent="0.3">
      <c r="A31" s="335" t="s">
        <v>163</v>
      </c>
      <c r="B31" s="333">
        <v>-540849</v>
      </c>
      <c r="C31" s="334">
        <f>SUM(C24:C30)</f>
        <v>-1479124</v>
      </c>
      <c r="D31" s="334">
        <f t="shared" ref="D31:K31" si="5">SUM(D24:D30)</f>
        <v>-1136433</v>
      </c>
      <c r="E31" s="334">
        <f t="shared" si="5"/>
        <v>-1814757</v>
      </c>
      <c r="F31" s="334">
        <f t="shared" si="5"/>
        <v>3300578</v>
      </c>
      <c r="G31" s="359">
        <f t="shared" si="5"/>
        <v>-3733007.0533336503</v>
      </c>
      <c r="H31" s="356">
        <f t="shared" si="5"/>
        <v>-4197720.9809137965</v>
      </c>
      <c r="I31" s="356">
        <f t="shared" si="5"/>
        <v>-4842573.01218649</v>
      </c>
      <c r="J31" s="356">
        <f t="shared" si="5"/>
        <v>-5573774.3763349438</v>
      </c>
      <c r="K31" s="356">
        <f t="shared" si="5"/>
        <v>-6246947.8517162735</v>
      </c>
      <c r="L31" s="13"/>
    </row>
    <row r="32" spans="1:12" x14ac:dyDescent="0.3">
      <c r="A32" s="335" t="s">
        <v>180</v>
      </c>
      <c r="B32" s="333">
        <v>1246821</v>
      </c>
      <c r="C32" s="334">
        <v>1529216</v>
      </c>
      <c r="D32" s="334">
        <v>836539</v>
      </c>
      <c r="E32" s="334">
        <v>-898649</v>
      </c>
      <c r="F32" s="336">
        <v>1961598</v>
      </c>
      <c r="G32" s="360">
        <f>+G34-G33</f>
        <v>3376966.2964559495</v>
      </c>
      <c r="H32" s="360">
        <f t="shared" ref="H32:K32" si="6">+H34-H33</f>
        <v>898577.2911548987</v>
      </c>
      <c r="I32" s="360">
        <f t="shared" si="6"/>
        <v>341555.78857252747</v>
      </c>
      <c r="J32" s="360">
        <f t="shared" si="6"/>
        <v>-313026.31986105442</v>
      </c>
      <c r="K32" s="360">
        <f t="shared" si="6"/>
        <v>190865.69357400388</v>
      </c>
      <c r="L32" s="13"/>
    </row>
    <row r="33" spans="1:12" x14ac:dyDescent="0.3">
      <c r="A33" t="s">
        <v>165</v>
      </c>
      <c r="B33" s="108">
        <v>1489817</v>
      </c>
      <c r="C33" s="160">
        <f>+B34</f>
        <v>2736638</v>
      </c>
      <c r="D33" s="160">
        <f>+C34</f>
        <v>4265854</v>
      </c>
      <c r="E33" s="160">
        <f>+D34</f>
        <v>5102393</v>
      </c>
      <c r="F33" s="160">
        <f>+E34</f>
        <v>4203744</v>
      </c>
      <c r="G33" s="175">
        <f t="shared" ref="G33:K33" si="7">+F34</f>
        <v>6165342</v>
      </c>
      <c r="H33" s="175">
        <f t="shared" si="7"/>
        <v>9542308.2964559495</v>
      </c>
      <c r="I33" s="175">
        <f t="shared" si="7"/>
        <v>10440885.587610848</v>
      </c>
      <c r="J33" s="175">
        <f t="shared" si="7"/>
        <v>10782441.376183376</v>
      </c>
      <c r="K33" s="175">
        <f t="shared" si="7"/>
        <v>10469415.056322321</v>
      </c>
      <c r="L33" s="13"/>
    </row>
    <row r="34" spans="1:12" x14ac:dyDescent="0.3">
      <c r="A34" s="81" t="s">
        <v>166</v>
      </c>
      <c r="B34" s="88">
        <v>2736638</v>
      </c>
      <c r="C34" s="89">
        <f>+C33+C32</f>
        <v>4265854</v>
      </c>
      <c r="D34" s="89">
        <f>+D33+D32</f>
        <v>5102393</v>
      </c>
      <c r="E34" s="89">
        <f>+E33+E32</f>
        <v>4203744</v>
      </c>
      <c r="F34" s="89">
        <f>+F33+F32</f>
        <v>6165342</v>
      </c>
      <c r="G34" s="356">
        <v>9542308.2964559495</v>
      </c>
      <c r="H34" s="356">
        <v>10440885.587610848</v>
      </c>
      <c r="I34" s="356">
        <v>10782441.376183376</v>
      </c>
      <c r="J34" s="356">
        <v>10469415.056322321</v>
      </c>
      <c r="K34" s="356">
        <v>10660280.749896325</v>
      </c>
      <c r="L34" s="13"/>
    </row>
    <row r="35" spans="1:12" x14ac:dyDescent="0.3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</row>
    <row r="36" spans="1:12" x14ac:dyDescent="0.3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</row>
    <row r="37" spans="1:12" x14ac:dyDescent="0.3">
      <c r="A37" t="s">
        <v>164</v>
      </c>
      <c r="B37" s="4">
        <f>+B31+B22+B17</f>
        <v>1246821</v>
      </c>
      <c r="C37" s="4">
        <f>+C31+C22+C17</f>
        <v>1529216</v>
      </c>
      <c r="D37" s="4">
        <f>+D31+D22+D17</f>
        <v>836539</v>
      </c>
      <c r="E37" s="4">
        <f>+E31+E22+E17</f>
        <v>-898649</v>
      </c>
      <c r="F37" s="4">
        <f>+F31+F22+F17</f>
        <v>1961598</v>
      </c>
      <c r="G37" s="4">
        <f>+G31+G22</f>
        <v>-5015255.5033336505</v>
      </c>
      <c r="H37" s="4">
        <f t="shared" ref="H37:K37" si="8">+H31+H22</f>
        <v>-5491876.5209137965</v>
      </c>
      <c r="I37" s="4">
        <f t="shared" si="8"/>
        <v>-6280172.4601864899</v>
      </c>
      <c r="J37" s="4">
        <f t="shared" si="8"/>
        <v>-6923761.5139349438</v>
      </c>
      <c r="K37" s="4">
        <f t="shared" si="8"/>
        <v>-7581401.4168362729</v>
      </c>
    </row>
    <row r="38" spans="1:12" x14ac:dyDescent="0.3">
      <c r="B38" s="4"/>
      <c r="C38" s="4"/>
      <c r="D38" s="4"/>
      <c r="E38" s="4"/>
      <c r="F38" s="4"/>
      <c r="G38" s="4">
        <v>-605192.97260445391</v>
      </c>
      <c r="H38" s="4">
        <v>-680552.62745662383</v>
      </c>
      <c r="I38" s="4">
        <v>-792036.99782220495</v>
      </c>
      <c r="J38" s="4">
        <v>-844635.85478781722</v>
      </c>
      <c r="K38" s="4">
        <v>-808897.93171188701</v>
      </c>
    </row>
    <row r="39" spans="1:12" x14ac:dyDescent="0.3">
      <c r="B39" s="4"/>
      <c r="C39" s="4"/>
      <c r="D39" s="4"/>
      <c r="E39" s="4"/>
      <c r="F39" s="4"/>
      <c r="G39" s="4">
        <f>+G17+G22+G31</f>
        <v>3376966.2964559477</v>
      </c>
      <c r="H39" s="4">
        <f t="shared" ref="H39:K39" si="9">+H17+H22+H31</f>
        <v>898577.2911548987</v>
      </c>
      <c r="I39" s="4">
        <f t="shared" si="9"/>
        <v>341555.78857252654</v>
      </c>
      <c r="J39" s="4">
        <f t="shared" si="9"/>
        <v>-313026.31986105349</v>
      </c>
      <c r="K39" s="4">
        <f t="shared" si="9"/>
        <v>190865.69357400481</v>
      </c>
    </row>
    <row r="40" spans="1:12" x14ac:dyDescent="0.3">
      <c r="B40" s="4"/>
      <c r="C40" s="4"/>
      <c r="D40" s="4"/>
      <c r="E40" s="4"/>
      <c r="F40" s="4"/>
      <c r="G40" s="4"/>
      <c r="H40" s="4"/>
      <c r="I40" s="4"/>
      <c r="J40" s="4"/>
      <c r="K40" s="4"/>
    </row>
    <row r="42" spans="1:12" x14ac:dyDescent="0.3">
      <c r="A42" t="s">
        <v>175</v>
      </c>
      <c r="B42" s="23">
        <f>+'P&amp;L-SOFP-Ratios'!B48</f>
        <v>2742897</v>
      </c>
      <c r="C42" s="23">
        <f>+'P&amp;L-SOFP-Ratios'!C48</f>
        <v>4290248</v>
      </c>
      <c r="D42" s="23">
        <f>+'P&amp;L-SOFP-Ratios'!D48</f>
        <v>5262770</v>
      </c>
      <c r="E42" s="23">
        <f>+'P&amp;L-SOFP-Ratios'!E48</f>
        <v>4452472</v>
      </c>
      <c r="F42" s="23">
        <f>+'P&amp;L-SOFP-Ratios'!F48</f>
        <v>6383354</v>
      </c>
      <c r="G42" s="23">
        <f>+'P&amp;L-SOFP-Ratios'!G79</f>
        <v>0</v>
      </c>
      <c r="H42" s="23">
        <f>+'P&amp;L-SOFP-Ratios'!H79</f>
        <v>0</v>
      </c>
      <c r="I42" s="23">
        <f>+'P&amp;L-SOFP-Ratios'!I79</f>
        <v>0</v>
      </c>
      <c r="J42" s="23">
        <f>+'P&amp;L-SOFP-Ratios'!J79</f>
        <v>0</v>
      </c>
      <c r="K42" s="23">
        <f>+'P&amp;L-SOFP-Ratios'!K79</f>
        <v>0</v>
      </c>
    </row>
    <row r="43" spans="1:12" x14ac:dyDescent="0.3">
      <c r="A43" s="93" t="s">
        <v>176</v>
      </c>
      <c r="B43" s="161">
        <f>+B42-B34</f>
        <v>6259</v>
      </c>
      <c r="C43" s="161">
        <f t="shared" ref="C43:K43" si="10">+C42-C34</f>
        <v>24394</v>
      </c>
      <c r="D43" s="161">
        <f t="shared" si="10"/>
        <v>160377</v>
      </c>
      <c r="E43" s="161">
        <f t="shared" si="10"/>
        <v>248728</v>
      </c>
      <c r="F43" s="161">
        <f t="shared" si="10"/>
        <v>218012</v>
      </c>
      <c r="G43" s="161">
        <f t="shared" si="10"/>
        <v>-9542308.2964559495</v>
      </c>
      <c r="H43" s="161">
        <f t="shared" si="10"/>
        <v>-10440885.587610848</v>
      </c>
      <c r="I43" s="161">
        <f t="shared" si="10"/>
        <v>-10782441.376183376</v>
      </c>
      <c r="J43" s="161">
        <f t="shared" si="10"/>
        <v>-10469415.056322321</v>
      </c>
      <c r="K43" s="161">
        <f t="shared" si="10"/>
        <v>-10660280.749896325</v>
      </c>
    </row>
    <row r="50" spans="1:11" x14ac:dyDescent="0.3">
      <c r="B50" s="97">
        <v>2018</v>
      </c>
      <c r="C50" s="122">
        <v>2019</v>
      </c>
      <c r="D50" s="97">
        <v>2020</v>
      </c>
      <c r="E50" s="97">
        <v>2021</v>
      </c>
      <c r="F50" s="97">
        <v>2022</v>
      </c>
      <c r="G50" s="119">
        <v>2023</v>
      </c>
      <c r="H50" s="119">
        <v>2024</v>
      </c>
      <c r="I50" s="119">
        <v>2025</v>
      </c>
      <c r="J50" s="119">
        <v>2026</v>
      </c>
      <c r="K50" s="119">
        <v>2027</v>
      </c>
    </row>
    <row r="51" spans="1:11" x14ac:dyDescent="0.3">
      <c r="A51" t="s">
        <v>513</v>
      </c>
      <c r="B51" s="254">
        <f>+CashFlow!B16/'P&amp;L-SOFP-Ratios'!B5</f>
        <v>-1.2460093296322936E-3</v>
      </c>
      <c r="C51" s="254">
        <f>+CashFlow!C16/'P&amp;L-SOFP-Ratios'!C5</f>
        <v>-3.0308765110913321E-3</v>
      </c>
      <c r="D51" s="254">
        <f>+CashFlow!D16/'P&amp;L-SOFP-Ratios'!D5</f>
        <v>-9.1702743662765516E-3</v>
      </c>
      <c r="E51" s="254">
        <f>+CashFlow!E16/'P&amp;L-SOFP-Ratios'!E5</f>
        <v>-1.4683001446777368E-2</v>
      </c>
      <c r="F51" s="254">
        <f>+CashFlow!F16/'P&amp;L-SOFP-Ratios'!F5</f>
        <v>-6.0900866992643615E-3</v>
      </c>
      <c r="G51" s="255">
        <f>+AVERAGE(B51:F51)</f>
        <v>-6.8440496706083818E-3</v>
      </c>
      <c r="H51" s="255">
        <f t="shared" ref="H51:K51" si="11">+AVERAGE(C51:G51)</f>
        <v>-7.9636577388035989E-3</v>
      </c>
      <c r="I51" s="255">
        <f t="shared" si="11"/>
        <v>-8.9502139843460511E-3</v>
      </c>
      <c r="J51" s="255">
        <f t="shared" si="11"/>
        <v>-8.906201907959951E-3</v>
      </c>
      <c r="K51" s="255">
        <f t="shared" si="11"/>
        <v>-7.7508420001964687E-3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54"/>
  <sheetViews>
    <sheetView topLeftCell="A4" zoomScale="85" zoomScaleNormal="85" workbookViewId="0">
      <selection activeCell="G12" sqref="G12"/>
    </sheetView>
  </sheetViews>
  <sheetFormatPr defaultRowHeight="14.4" x14ac:dyDescent="0.3"/>
  <cols>
    <col min="1" max="1" width="55.33203125" style="91" bestFit="1" customWidth="1"/>
    <col min="2" max="5" width="14.33203125" bestFit="1" customWidth="1"/>
    <col min="6" max="6" width="15" bestFit="1" customWidth="1"/>
    <col min="7" max="11" width="14.33203125" bestFit="1" customWidth="1"/>
    <col min="12" max="12" width="9.109375" customWidth="1"/>
  </cols>
  <sheetData>
    <row r="1" spans="1:12" x14ac:dyDescent="0.3">
      <c r="A1" s="468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</row>
    <row r="2" spans="1:12" x14ac:dyDescent="0.3">
      <c r="A2" s="229" t="s">
        <v>453</v>
      </c>
      <c r="L2" s="13"/>
    </row>
    <row r="3" spans="1:12" x14ac:dyDescent="0.3">
      <c r="A3" s="91" t="s">
        <v>457</v>
      </c>
      <c r="L3" s="13"/>
    </row>
    <row r="4" spans="1:12" x14ac:dyDescent="0.3">
      <c r="A4" s="91" t="s">
        <v>455</v>
      </c>
      <c r="L4" s="13"/>
    </row>
    <row r="5" spans="1:12" x14ac:dyDescent="0.3">
      <c r="A5" s="91" t="s">
        <v>456</v>
      </c>
      <c r="L5" s="13"/>
    </row>
    <row r="6" spans="1:12" x14ac:dyDescent="0.3">
      <c r="A6" s="91" t="s">
        <v>458</v>
      </c>
      <c r="L6" s="13"/>
    </row>
    <row r="7" spans="1:12" x14ac:dyDescent="0.3">
      <c r="A7" s="91" t="s">
        <v>462</v>
      </c>
      <c r="L7" s="13"/>
    </row>
    <row r="8" spans="1:12" x14ac:dyDescent="0.3">
      <c r="L8" s="13"/>
    </row>
    <row r="9" spans="1:12" x14ac:dyDescent="0.3">
      <c r="A9" s="472"/>
      <c r="B9" s="386"/>
      <c r="C9" s="386"/>
      <c r="D9" s="386"/>
      <c r="E9" s="386"/>
      <c r="F9" s="386"/>
      <c r="G9" s="386"/>
      <c r="H9" s="386"/>
      <c r="I9" s="386"/>
      <c r="J9" s="386"/>
      <c r="K9" s="386"/>
      <c r="L9" s="13"/>
    </row>
    <row r="10" spans="1:12" x14ac:dyDescent="0.3">
      <c r="A10" s="493" t="s">
        <v>59</v>
      </c>
      <c r="B10" s="494">
        <v>2018</v>
      </c>
      <c r="C10" s="494">
        <v>2019</v>
      </c>
      <c r="D10" s="494">
        <v>2020</v>
      </c>
      <c r="E10" s="494">
        <v>2021</v>
      </c>
      <c r="F10" s="494">
        <v>2022</v>
      </c>
      <c r="G10" s="495">
        <v>2023</v>
      </c>
      <c r="H10" s="495">
        <v>2024</v>
      </c>
      <c r="I10" s="495">
        <v>2025</v>
      </c>
      <c r="J10" s="495">
        <v>2026</v>
      </c>
      <c r="K10" s="495">
        <v>2027</v>
      </c>
      <c r="L10" s="13"/>
    </row>
    <row r="11" spans="1:12" x14ac:dyDescent="0.3">
      <c r="A11" s="472" t="s">
        <v>444</v>
      </c>
      <c r="B11" s="74">
        <v>3942686</v>
      </c>
      <c r="C11" s="74">
        <v>4056683</v>
      </c>
      <c r="D11" s="74">
        <v>4056683</v>
      </c>
      <c r="E11" s="74">
        <v>4056683</v>
      </c>
      <c r="F11" s="74">
        <v>4248787</v>
      </c>
      <c r="G11" s="361">
        <f>F15</f>
        <v>4442234</v>
      </c>
      <c r="H11" s="361">
        <f t="shared" ref="H11:K11" si="0">G15</f>
        <v>4442234</v>
      </c>
      <c r="I11" s="361">
        <f t="shared" si="0"/>
        <v>4442234</v>
      </c>
      <c r="J11" s="361">
        <f t="shared" si="0"/>
        <v>4442234</v>
      </c>
      <c r="K11" s="361">
        <f t="shared" si="0"/>
        <v>4442234</v>
      </c>
      <c r="L11" s="13"/>
    </row>
    <row r="12" spans="1:12" s="1" customFormat="1" x14ac:dyDescent="0.3">
      <c r="A12" s="473" t="s">
        <v>459</v>
      </c>
      <c r="B12" s="354"/>
      <c r="C12" s="354"/>
      <c r="D12" s="354"/>
      <c r="E12" s="354"/>
      <c r="F12" s="354"/>
      <c r="G12" s="482"/>
      <c r="H12" s="482"/>
      <c r="I12" s="482"/>
      <c r="J12" s="482"/>
      <c r="K12" s="482"/>
      <c r="L12" s="13"/>
    </row>
    <row r="13" spans="1:12" x14ac:dyDescent="0.3">
      <c r="A13" s="472" t="s">
        <v>445</v>
      </c>
      <c r="B13" s="74">
        <v>113997</v>
      </c>
      <c r="C13" s="74">
        <v>0</v>
      </c>
      <c r="D13" s="74">
        <v>0</v>
      </c>
      <c r="E13" s="74">
        <v>192104</v>
      </c>
      <c r="F13" s="74">
        <v>0</v>
      </c>
      <c r="G13" s="361">
        <v>0</v>
      </c>
      <c r="H13" s="361">
        <v>0</v>
      </c>
      <c r="I13" s="361">
        <v>0</v>
      </c>
      <c r="J13" s="361">
        <v>0</v>
      </c>
      <c r="K13" s="361">
        <v>0</v>
      </c>
      <c r="L13" s="13"/>
    </row>
    <row r="14" spans="1:12" x14ac:dyDescent="0.3">
      <c r="A14" s="472" t="s">
        <v>446</v>
      </c>
      <c r="B14" s="74">
        <v>0</v>
      </c>
      <c r="C14" s="74">
        <v>0</v>
      </c>
      <c r="D14" s="74">
        <v>0</v>
      </c>
      <c r="E14" s="74">
        <v>0</v>
      </c>
      <c r="F14" s="74">
        <v>193447</v>
      </c>
      <c r="G14" s="175">
        <v>0</v>
      </c>
      <c r="H14" s="175">
        <v>0</v>
      </c>
      <c r="I14" s="175">
        <v>0</v>
      </c>
      <c r="J14" s="175">
        <v>0</v>
      </c>
      <c r="K14" s="175">
        <v>0</v>
      </c>
      <c r="L14" s="13"/>
    </row>
    <row r="15" spans="1:12" s="1" customFormat="1" x14ac:dyDescent="0.3">
      <c r="A15" s="474" t="s">
        <v>447</v>
      </c>
      <c r="B15" s="113">
        <f t="shared" ref="B15:K15" si="1">B11+B12+B13+B14</f>
        <v>4056683</v>
      </c>
      <c r="C15" s="113">
        <f t="shared" si="1"/>
        <v>4056683</v>
      </c>
      <c r="D15" s="113">
        <f t="shared" si="1"/>
        <v>4056683</v>
      </c>
      <c r="E15" s="113">
        <f t="shared" si="1"/>
        <v>4248787</v>
      </c>
      <c r="F15" s="113">
        <f t="shared" si="1"/>
        <v>4442234</v>
      </c>
      <c r="G15" s="356">
        <f t="shared" si="1"/>
        <v>4442234</v>
      </c>
      <c r="H15" s="356">
        <f t="shared" si="1"/>
        <v>4442234</v>
      </c>
      <c r="I15" s="356">
        <f t="shared" si="1"/>
        <v>4442234</v>
      </c>
      <c r="J15" s="356">
        <f t="shared" si="1"/>
        <v>4442234</v>
      </c>
      <c r="K15" s="356">
        <f t="shared" si="1"/>
        <v>4442234</v>
      </c>
      <c r="L15" s="13"/>
    </row>
    <row r="16" spans="1:12" x14ac:dyDescent="0.3">
      <c r="A16" s="475"/>
      <c r="B16" s="352"/>
      <c r="C16" s="352"/>
      <c r="D16" s="352"/>
      <c r="E16" s="352"/>
      <c r="F16" s="352"/>
      <c r="G16" s="165"/>
      <c r="H16" s="165"/>
      <c r="I16" s="165"/>
      <c r="J16" s="165"/>
      <c r="K16" s="165"/>
      <c r="L16" s="13"/>
    </row>
    <row r="17" spans="1:12" x14ac:dyDescent="0.3">
      <c r="A17" s="475" t="s">
        <v>89</v>
      </c>
      <c r="B17" s="74"/>
      <c r="C17" s="74"/>
      <c r="D17" s="74"/>
      <c r="E17" s="74"/>
      <c r="F17" s="74"/>
      <c r="G17" s="168"/>
      <c r="H17" s="168"/>
      <c r="I17" s="168"/>
      <c r="J17" s="168"/>
      <c r="K17" s="168"/>
      <c r="L17" s="13"/>
    </row>
    <row r="18" spans="1:12" x14ac:dyDescent="0.3">
      <c r="A18" s="472" t="s">
        <v>444</v>
      </c>
      <c r="B18" s="74">
        <v>2446006</v>
      </c>
      <c r="C18" s="74">
        <v>2577679</v>
      </c>
      <c r="D18" s="74">
        <v>4171784</v>
      </c>
      <c r="E18" s="74">
        <v>5263417</v>
      </c>
      <c r="F18" s="74">
        <v>6225275</v>
      </c>
      <c r="G18" s="361">
        <f>F21</f>
        <v>15219688</v>
      </c>
      <c r="H18" s="361">
        <f t="shared" ref="H18:K18" si="2">G21</f>
        <v>17774424.399999999</v>
      </c>
      <c r="I18" s="361">
        <f t="shared" si="2"/>
        <v>20329160.799999997</v>
      </c>
      <c r="J18" s="361">
        <f t="shared" si="2"/>
        <v>23287741.099999998</v>
      </c>
      <c r="K18" s="361">
        <f t="shared" si="2"/>
        <v>26473733.949999999</v>
      </c>
      <c r="L18" s="13"/>
    </row>
    <row r="19" spans="1:12" x14ac:dyDescent="0.3">
      <c r="A19" s="472" t="s">
        <v>448</v>
      </c>
      <c r="B19" s="74">
        <v>131673</v>
      </c>
      <c r="C19" s="74">
        <v>1594105</v>
      </c>
      <c r="D19" s="74">
        <v>1091633</v>
      </c>
      <c r="E19" s="74">
        <v>961858</v>
      </c>
      <c r="F19" s="74">
        <v>8994413</v>
      </c>
      <c r="G19" s="361">
        <f>AVERAGE(B19:F19)</f>
        <v>2554736.4</v>
      </c>
      <c r="H19" s="361">
        <f t="shared" ref="H19:K19" si="3">AVERAGE(B19:G19)</f>
        <v>2554736.4</v>
      </c>
      <c r="I19" s="361">
        <f t="shared" si="3"/>
        <v>2958580.3000000003</v>
      </c>
      <c r="J19" s="361">
        <f t="shared" si="3"/>
        <v>3185992.85</v>
      </c>
      <c r="K19" s="361">
        <f t="shared" si="3"/>
        <v>3535052.8250000007</v>
      </c>
      <c r="L19" s="13"/>
    </row>
    <row r="20" spans="1:12" x14ac:dyDescent="0.3">
      <c r="A20" s="472" t="s">
        <v>449</v>
      </c>
      <c r="B20" s="74">
        <v>131673</v>
      </c>
      <c r="C20" s="74">
        <v>1594105</v>
      </c>
      <c r="D20" s="74">
        <v>1091633</v>
      </c>
      <c r="E20" s="74">
        <v>961858</v>
      </c>
      <c r="F20" s="74">
        <v>8994413</v>
      </c>
      <c r="G20" s="361">
        <f>G19</f>
        <v>2554736.4</v>
      </c>
      <c r="H20" s="361">
        <f>H19</f>
        <v>2554736.4</v>
      </c>
      <c r="I20" s="361">
        <f>I19</f>
        <v>2958580.3000000003</v>
      </c>
      <c r="J20" s="361">
        <f>J19</f>
        <v>3185992.85</v>
      </c>
      <c r="K20" s="361">
        <f>K19</f>
        <v>3535052.8250000007</v>
      </c>
      <c r="L20" s="13"/>
    </row>
    <row r="21" spans="1:12" s="1" customFormat="1" x14ac:dyDescent="0.3">
      <c r="A21" s="474" t="s">
        <v>447</v>
      </c>
      <c r="B21" s="113">
        <f>B18+B20</f>
        <v>2577679</v>
      </c>
      <c r="C21" s="113">
        <f>C18+C20</f>
        <v>4171784</v>
      </c>
      <c r="D21" s="113">
        <f>D18+D20</f>
        <v>5263417</v>
      </c>
      <c r="E21" s="113">
        <f>E18+E20</f>
        <v>6225275</v>
      </c>
      <c r="F21" s="113">
        <f t="shared" ref="F21:K21" si="4">F18+F20</f>
        <v>15219688</v>
      </c>
      <c r="G21" s="356">
        <f t="shared" si="4"/>
        <v>17774424.399999999</v>
      </c>
      <c r="H21" s="356">
        <f t="shared" si="4"/>
        <v>20329160.799999997</v>
      </c>
      <c r="I21" s="356">
        <f t="shared" si="4"/>
        <v>23287741.099999998</v>
      </c>
      <c r="J21" s="356">
        <f t="shared" si="4"/>
        <v>26473733.949999999</v>
      </c>
      <c r="K21" s="356">
        <f t="shared" si="4"/>
        <v>30008786.774999999</v>
      </c>
      <c r="L21" s="13"/>
    </row>
    <row r="22" spans="1:12" s="1" customFormat="1" x14ac:dyDescent="0.3">
      <c r="A22" s="475"/>
      <c r="B22" s="234"/>
      <c r="C22" s="234"/>
      <c r="D22" s="234"/>
      <c r="E22" s="234"/>
      <c r="F22" s="234"/>
      <c r="G22" s="483"/>
      <c r="H22" s="483"/>
      <c r="I22" s="483"/>
      <c r="J22" s="483"/>
      <c r="K22" s="483"/>
      <c r="L22" s="13"/>
    </row>
    <row r="23" spans="1:12" x14ac:dyDescent="0.3">
      <c r="A23" s="475" t="s">
        <v>454</v>
      </c>
      <c r="B23" s="74"/>
      <c r="C23" s="74"/>
      <c r="D23" s="74"/>
      <c r="E23" s="74"/>
      <c r="F23" s="74"/>
      <c r="G23" s="168"/>
      <c r="H23" s="168"/>
      <c r="I23" s="168"/>
      <c r="J23" s="168"/>
      <c r="K23" s="168"/>
      <c r="L23" s="13"/>
    </row>
    <row r="24" spans="1:12" x14ac:dyDescent="0.3">
      <c r="A24" s="472" t="s">
        <v>444</v>
      </c>
      <c r="B24" s="72" t="s">
        <v>82</v>
      </c>
      <c r="C24" s="74">
        <f t="shared" ref="C24" si="5">B27</f>
        <v>9673</v>
      </c>
      <c r="D24" s="72" t="s">
        <v>82</v>
      </c>
      <c r="E24" s="72" t="s">
        <v>82</v>
      </c>
      <c r="F24" s="72" t="s">
        <v>82</v>
      </c>
      <c r="G24" s="358" t="s">
        <v>82</v>
      </c>
      <c r="H24" s="358" t="s">
        <v>82</v>
      </c>
      <c r="I24" s="358" t="s">
        <v>82</v>
      </c>
      <c r="J24" s="358" t="s">
        <v>82</v>
      </c>
      <c r="K24" s="358" t="s">
        <v>82</v>
      </c>
      <c r="L24" s="13"/>
    </row>
    <row r="25" spans="1:12" x14ac:dyDescent="0.3">
      <c r="A25" s="472" t="s">
        <v>448</v>
      </c>
      <c r="B25" s="74">
        <v>9673</v>
      </c>
      <c r="C25" s="74">
        <v>-9673</v>
      </c>
      <c r="D25" s="72" t="s">
        <v>82</v>
      </c>
      <c r="E25" s="72" t="s">
        <v>82</v>
      </c>
      <c r="F25" s="72" t="s">
        <v>82</v>
      </c>
      <c r="G25" s="358" t="s">
        <v>82</v>
      </c>
      <c r="H25" s="358" t="s">
        <v>82</v>
      </c>
      <c r="I25" s="358" t="s">
        <v>82</v>
      </c>
      <c r="J25" s="358" t="s">
        <v>82</v>
      </c>
      <c r="K25" s="358" t="s">
        <v>82</v>
      </c>
      <c r="L25" s="13"/>
    </row>
    <row r="26" spans="1:12" x14ac:dyDescent="0.3">
      <c r="A26" s="472" t="s">
        <v>449</v>
      </c>
      <c r="B26" s="74">
        <f>SUM(B24:B25)</f>
        <v>9673</v>
      </c>
      <c r="C26" s="74">
        <v>-9673</v>
      </c>
      <c r="D26" s="72" t="s">
        <v>82</v>
      </c>
      <c r="E26" s="72" t="s">
        <v>82</v>
      </c>
      <c r="F26" s="72" t="s">
        <v>82</v>
      </c>
      <c r="G26" s="358" t="s">
        <v>82</v>
      </c>
      <c r="H26" s="358" t="s">
        <v>82</v>
      </c>
      <c r="I26" s="358" t="s">
        <v>82</v>
      </c>
      <c r="J26" s="358" t="s">
        <v>82</v>
      </c>
      <c r="K26" s="358" t="s">
        <v>82</v>
      </c>
      <c r="L26" s="13"/>
    </row>
    <row r="27" spans="1:12" x14ac:dyDescent="0.3">
      <c r="A27" s="474" t="s">
        <v>447</v>
      </c>
      <c r="B27" s="113">
        <f>+B26</f>
        <v>9673</v>
      </c>
      <c r="C27" s="353" t="s">
        <v>82</v>
      </c>
      <c r="D27" s="353" t="s">
        <v>82</v>
      </c>
      <c r="E27" s="353" t="s">
        <v>82</v>
      </c>
      <c r="F27" s="353" t="s">
        <v>82</v>
      </c>
      <c r="G27" s="484" t="s">
        <v>82</v>
      </c>
      <c r="H27" s="484" t="s">
        <v>82</v>
      </c>
      <c r="I27" s="484" t="s">
        <v>82</v>
      </c>
      <c r="J27" s="484" t="s">
        <v>82</v>
      </c>
      <c r="K27" s="484" t="s">
        <v>82</v>
      </c>
      <c r="L27" s="13"/>
    </row>
    <row r="28" spans="1:12" x14ac:dyDescent="0.3">
      <c r="A28" s="475"/>
      <c r="B28" s="234"/>
      <c r="C28" s="476"/>
      <c r="D28" s="476"/>
      <c r="E28" s="476"/>
      <c r="F28" s="476"/>
      <c r="G28" s="485"/>
      <c r="H28" s="485"/>
      <c r="I28" s="485"/>
      <c r="J28" s="485"/>
      <c r="K28" s="485"/>
      <c r="L28" s="13"/>
    </row>
    <row r="29" spans="1:12" x14ac:dyDescent="0.3">
      <c r="A29" s="475" t="s">
        <v>90</v>
      </c>
      <c r="B29" s="74"/>
      <c r="C29" s="74"/>
      <c r="D29" s="74"/>
      <c r="E29" s="74"/>
      <c r="F29" s="74"/>
      <c r="G29" s="168"/>
      <c r="H29" s="168"/>
      <c r="I29" s="168"/>
      <c r="J29" s="168"/>
      <c r="K29" s="168"/>
      <c r="L29" s="13"/>
    </row>
    <row r="30" spans="1:12" x14ac:dyDescent="0.3">
      <c r="A30" s="472" t="s">
        <v>444</v>
      </c>
      <c r="B30" s="74">
        <v>63746</v>
      </c>
      <c r="C30" s="74">
        <v>85505</v>
      </c>
      <c r="D30" s="74">
        <v>96760</v>
      </c>
      <c r="E30" s="74">
        <v>96760</v>
      </c>
      <c r="F30" s="74">
        <v>153491</v>
      </c>
      <c r="G30" s="361">
        <f>F32</f>
        <v>153491</v>
      </c>
      <c r="H30" s="361">
        <f t="shared" ref="H30:K30" si="6">G32</f>
        <v>183406</v>
      </c>
      <c r="I30" s="361">
        <f t="shared" si="6"/>
        <v>213321</v>
      </c>
      <c r="J30" s="361">
        <f t="shared" si="6"/>
        <v>245275</v>
      </c>
      <c r="K30" s="361">
        <f t="shared" si="6"/>
        <v>282403.75</v>
      </c>
      <c r="L30" s="13"/>
    </row>
    <row r="31" spans="1:12" x14ac:dyDescent="0.3">
      <c r="A31" s="472" t="s">
        <v>90</v>
      </c>
      <c r="B31" s="74">
        <v>21759</v>
      </c>
      <c r="C31" s="74">
        <v>11255</v>
      </c>
      <c r="D31" s="72" t="s">
        <v>82</v>
      </c>
      <c r="E31" s="74">
        <v>56731</v>
      </c>
      <c r="F31" s="72" t="s">
        <v>82</v>
      </c>
      <c r="G31" s="361">
        <f>AVERAGE(B31:F31)</f>
        <v>29915</v>
      </c>
      <c r="H31" s="361">
        <f t="shared" ref="H31:K31" si="7">AVERAGE(B31:G31)</f>
        <v>29915</v>
      </c>
      <c r="I31" s="361">
        <f t="shared" si="7"/>
        <v>31954</v>
      </c>
      <c r="J31" s="361">
        <f t="shared" si="7"/>
        <v>37128.75</v>
      </c>
      <c r="K31" s="361">
        <f t="shared" si="7"/>
        <v>37128.75</v>
      </c>
      <c r="L31" s="13"/>
    </row>
    <row r="32" spans="1:12" x14ac:dyDescent="0.3">
      <c r="A32" s="474" t="s">
        <v>447</v>
      </c>
      <c r="B32" s="113">
        <f>SUM(B30:B31)</f>
        <v>85505</v>
      </c>
      <c r="C32" s="113">
        <f t="shared" ref="C32:F32" si="8">SUM(C30:C31)</f>
        <v>96760</v>
      </c>
      <c r="D32" s="113">
        <f t="shared" si="8"/>
        <v>96760</v>
      </c>
      <c r="E32" s="113">
        <f t="shared" si="8"/>
        <v>153491</v>
      </c>
      <c r="F32" s="113">
        <f t="shared" si="8"/>
        <v>153491</v>
      </c>
      <c r="G32" s="356">
        <f t="shared" ref="G32" si="9">SUM(G30:G31)</f>
        <v>183406</v>
      </c>
      <c r="H32" s="356">
        <f t="shared" ref="H32" si="10">SUM(H30:H31)</f>
        <v>213321</v>
      </c>
      <c r="I32" s="356">
        <f t="shared" ref="I32" si="11">SUM(I30:I31)</f>
        <v>245275</v>
      </c>
      <c r="J32" s="356">
        <f t="shared" ref="J32" si="12">SUM(J30:J31)</f>
        <v>282403.75</v>
      </c>
      <c r="K32" s="356">
        <f t="shared" ref="K32" si="13">SUM(K30:K31)</f>
        <v>319532.5</v>
      </c>
      <c r="L32" s="13"/>
    </row>
    <row r="33" spans="1:44" x14ac:dyDescent="0.3">
      <c r="A33" s="475"/>
      <c r="B33" s="234"/>
      <c r="C33" s="234"/>
      <c r="D33" s="234"/>
      <c r="E33" s="234"/>
      <c r="F33" s="234"/>
      <c r="G33" s="483"/>
      <c r="H33" s="483"/>
      <c r="I33" s="483"/>
      <c r="J33" s="483"/>
      <c r="K33" s="483"/>
      <c r="L33" s="13"/>
    </row>
    <row r="34" spans="1:44" x14ac:dyDescent="0.3">
      <c r="A34" s="475" t="s">
        <v>91</v>
      </c>
      <c r="B34" s="74"/>
      <c r="C34" s="74"/>
      <c r="D34" s="74"/>
      <c r="E34" s="74"/>
      <c r="F34" s="352"/>
      <c r="G34" s="168"/>
      <c r="H34" s="168"/>
      <c r="I34" s="168"/>
      <c r="J34" s="168"/>
      <c r="K34" s="168"/>
      <c r="L34" s="13"/>
    </row>
    <row r="35" spans="1:44" x14ac:dyDescent="0.3">
      <c r="A35" s="472" t="s">
        <v>444</v>
      </c>
      <c r="B35" s="74">
        <v>4724786</v>
      </c>
      <c r="C35" s="74">
        <v>4971882</v>
      </c>
      <c r="D35" s="74">
        <v>5600028</v>
      </c>
      <c r="E35" s="74">
        <v>6231783</v>
      </c>
      <c r="F35" s="352">
        <v>7136671</v>
      </c>
      <c r="G35" s="361">
        <f>F47</f>
        <v>8410456</v>
      </c>
      <c r="H35" s="361">
        <f t="shared" ref="H35:K35" si="14">G47</f>
        <v>9227450.6045130566</v>
      </c>
      <c r="I35" s="361">
        <f t="shared" si="14"/>
        <v>10218918.227395572</v>
      </c>
      <c r="J35" s="361">
        <f t="shared" si="14"/>
        <v>11270143.402482903</v>
      </c>
      <c r="K35" s="361">
        <f t="shared" si="14"/>
        <v>12415721.409840705</v>
      </c>
      <c r="L35" s="13"/>
    </row>
    <row r="36" spans="1:44" x14ac:dyDescent="0.3">
      <c r="A36" s="472" t="s">
        <v>3</v>
      </c>
      <c r="B36" s="74">
        <f>+'P&amp;L-SOFP-Ratios'!B18</f>
        <v>1596114</v>
      </c>
      <c r="C36" s="74">
        <f>+'P&amp;L-SOFP-Ratios'!C18</f>
        <v>1858717</v>
      </c>
      <c r="D36" s="74">
        <f>+'P&amp;L-SOFP-Ratios'!D18</f>
        <v>2383784</v>
      </c>
      <c r="E36" s="74">
        <f>+'P&amp;L-SOFP-Ratios'!E18</f>
        <v>2139602</v>
      </c>
      <c r="F36" s="352">
        <f>+'P&amp;L-SOFP-Ratios'!F18</f>
        <v>2531250</v>
      </c>
      <c r="G36" s="165">
        <f>+'P&amp;L-SOFP-Ratios'!G18</f>
        <v>3381305.9954425762</v>
      </c>
      <c r="H36" s="165">
        <f>+'P&amp;L-SOFP-Ratios'!H18</f>
        <v>3810705.2890628432</v>
      </c>
      <c r="I36" s="165">
        <f>+'P&amp;L-SOFP-Ratios'!I18</f>
        <v>4324008.5614752611</v>
      </c>
      <c r="J36" s="165">
        <f>+'P&amp;L-SOFP-Ratios'!J18</f>
        <v>4922924.0894784089</v>
      </c>
      <c r="K36" s="165">
        <f>+'P&amp;L-SOFP-Ratios'!K18</f>
        <v>5603163.8141744491</v>
      </c>
      <c r="L36" s="13"/>
    </row>
    <row r="37" spans="1:44" x14ac:dyDescent="0.3">
      <c r="A37" s="472" t="s">
        <v>448</v>
      </c>
      <c r="B37" s="74">
        <v>19798</v>
      </c>
      <c r="C37" s="74">
        <v>-2147</v>
      </c>
      <c r="D37" s="74">
        <v>-67333</v>
      </c>
      <c r="E37" s="74">
        <v>-64332</v>
      </c>
      <c r="F37" s="352">
        <v>176015</v>
      </c>
      <c r="G37" s="361">
        <f>AVERAGE(B37:F37)</f>
        <v>12400.2</v>
      </c>
      <c r="H37" s="361">
        <f t="shared" ref="H37:K37" si="15">AVERAGE(B37:G37)</f>
        <v>12400.199999999999</v>
      </c>
      <c r="I37" s="361">
        <f>AVERAGE(C37:H37)</f>
        <v>11167.233333333332</v>
      </c>
      <c r="J37" s="361">
        <f t="shared" si="15"/>
        <v>13386.272222222222</v>
      </c>
      <c r="K37" s="361">
        <f t="shared" si="15"/>
        <v>26839.484259259258</v>
      </c>
      <c r="L37" s="13"/>
    </row>
    <row r="38" spans="1:44" x14ac:dyDescent="0.3">
      <c r="A38" s="472" t="s">
        <v>449</v>
      </c>
      <c r="B38" s="74">
        <f>SUM(B36:B37)</f>
        <v>1615912</v>
      </c>
      <c r="C38" s="74">
        <f>SUM(C36:C37)</f>
        <v>1856570</v>
      </c>
      <c r="D38" s="74">
        <f t="shared" ref="D38:K38" si="16">SUM(D36:D37)</f>
        <v>2316451</v>
      </c>
      <c r="E38" s="74">
        <f t="shared" si="16"/>
        <v>2075270</v>
      </c>
      <c r="F38" s="352">
        <f t="shared" si="16"/>
        <v>2707265</v>
      </c>
      <c r="G38" s="165">
        <f t="shared" si="16"/>
        <v>3393706.1954425764</v>
      </c>
      <c r="H38" s="165">
        <f t="shared" si="16"/>
        <v>3823105.4890628434</v>
      </c>
      <c r="I38" s="165">
        <f t="shared" si="16"/>
        <v>4335175.7948085945</v>
      </c>
      <c r="J38" s="165">
        <f t="shared" si="16"/>
        <v>4936310.3617006307</v>
      </c>
      <c r="K38" s="165">
        <f t="shared" si="16"/>
        <v>5630003.298433708</v>
      </c>
      <c r="L38" s="13"/>
    </row>
    <row r="39" spans="1:44" x14ac:dyDescent="0.3">
      <c r="A39" s="473" t="s">
        <v>459</v>
      </c>
      <c r="B39" s="74"/>
      <c r="C39" s="74"/>
      <c r="D39" s="74"/>
      <c r="E39" s="74"/>
      <c r="F39" s="352"/>
      <c r="G39" s="168"/>
      <c r="H39" s="168"/>
      <c r="I39" s="168"/>
      <c r="J39" s="168"/>
      <c r="K39" s="168"/>
      <c r="L39" s="13"/>
    </row>
    <row r="40" spans="1:44" x14ac:dyDescent="0.3">
      <c r="A40" s="472" t="s">
        <v>451</v>
      </c>
      <c r="B40" s="74">
        <v>-491370</v>
      </c>
      <c r="C40" s="74">
        <v>-596663</v>
      </c>
      <c r="D40" s="74">
        <v>-912544</v>
      </c>
      <c r="E40" s="74">
        <v>-1170382</v>
      </c>
      <c r="F40" s="352">
        <v>-609229</v>
      </c>
      <c r="G40" s="361">
        <f>+G42*G44</f>
        <v>-1095102.4261450453</v>
      </c>
      <c r="H40" s="361">
        <f t="shared" ref="H40:K40" si="17">+H42*H44</f>
        <v>-1203446.0931266393</v>
      </c>
      <c r="I40" s="361">
        <f t="shared" si="17"/>
        <v>-1395679.0133815373</v>
      </c>
      <c r="J40" s="361">
        <f t="shared" si="17"/>
        <v>-1611061.2505957019</v>
      </c>
      <c r="K40" s="361">
        <f t="shared" si="17"/>
        <v>-1761730.2722630526</v>
      </c>
      <c r="L40" s="13"/>
    </row>
    <row r="41" spans="1:44" x14ac:dyDescent="0.3">
      <c r="A41" s="472" t="s">
        <v>450</v>
      </c>
      <c r="B41" s="74">
        <v>-877446</v>
      </c>
      <c r="C41" s="74">
        <v>-631761</v>
      </c>
      <c r="D41" s="74">
        <v>-772152</v>
      </c>
      <c r="E41" s="72" t="s">
        <v>82</v>
      </c>
      <c r="F41" s="352">
        <v>-824251</v>
      </c>
      <c r="G41" s="361">
        <f>+G42*G45</f>
        <v>-1481609.1647844729</v>
      </c>
      <c r="H41" s="361">
        <f>AVERAGE(B41:G41)</f>
        <v>-917443.83295689453</v>
      </c>
      <c r="I41" s="361">
        <f>AVERAGE(C41:H41)</f>
        <v>-925443.39954827353</v>
      </c>
      <c r="J41" s="361">
        <f>AVERAGE(D41:I41)</f>
        <v>-984179.87945792824</v>
      </c>
      <c r="K41" s="361">
        <f>AVERAGE(E41:J41)</f>
        <v>-1026585.4553495139</v>
      </c>
      <c r="L41" s="13"/>
    </row>
    <row r="42" spans="1:44" x14ac:dyDescent="0.3">
      <c r="A42" s="472" t="s">
        <v>452</v>
      </c>
      <c r="B42" s="74">
        <f>SUM(B40:B41)</f>
        <v>-1368816</v>
      </c>
      <c r="C42" s="74">
        <f>SUM(C40:C41)</f>
        <v>-1228424</v>
      </c>
      <c r="D42" s="74">
        <f t="shared" ref="D42:F42" si="18">SUM(D40:D41)</f>
        <v>-1684696</v>
      </c>
      <c r="E42" s="74">
        <f t="shared" si="18"/>
        <v>-1170382</v>
      </c>
      <c r="F42" s="352">
        <f t="shared" si="18"/>
        <v>-1433480</v>
      </c>
      <c r="G42" s="165">
        <f>-G43*'P&amp;L-SOFP-Ratios'!G19</f>
        <v>-2576711.5909295185</v>
      </c>
      <c r="H42" s="165">
        <f>-H43*'P&amp;L-SOFP-Ratios'!H19</f>
        <v>-2831637.8661803277</v>
      </c>
      <c r="I42" s="165">
        <f>-I43*'P&amp;L-SOFP-Ratios'!I19</f>
        <v>-3283950.6197212641</v>
      </c>
      <c r="J42" s="165">
        <f>-J43*'P&amp;L-SOFP-Ratios'!J19</f>
        <v>-3790732.354342828</v>
      </c>
      <c r="K42" s="165">
        <f>-K43*'P&amp;L-SOFP-Ratios'!K19</f>
        <v>-4145247.699442477</v>
      </c>
      <c r="L42" s="13"/>
    </row>
    <row r="43" spans="1:44" s="40" customFormat="1" x14ac:dyDescent="0.3">
      <c r="A43" s="477" t="str">
        <f>+'P&amp;L-SOFP-Ratios'!A155</f>
        <v>5.4 Dividend payout ratio</v>
      </c>
      <c r="B43" s="477">
        <f>+'P&amp;L-SOFP-Ratios'!B155</f>
        <v>0.85690514587303912</v>
      </c>
      <c r="C43" s="477">
        <f>+'P&amp;L-SOFP-Ratios'!C155</f>
        <v>0.66110171693700548</v>
      </c>
      <c r="D43" s="477">
        <f>+'P&amp;L-SOFP-Ratios'!D155</f>
        <v>0.70673215358438513</v>
      </c>
      <c r="E43" s="477">
        <f>+'P&amp;L-SOFP-Ratios'!E155</f>
        <v>0.92107429325640933</v>
      </c>
      <c r="F43" s="478">
        <f>+'P&amp;L-SOFP-Ratios'!F155</f>
        <v>0.66441799506172838</v>
      </c>
      <c r="G43" s="486">
        <f>+AVERAGE(B43:F43)</f>
        <v>0.76204626094251338</v>
      </c>
      <c r="H43" s="486">
        <f t="shared" ref="H43:K43" si="19">+AVERAGE(C43:G43)</f>
        <v>0.74307448395640829</v>
      </c>
      <c r="I43" s="486">
        <f t="shared" si="19"/>
        <v>0.75946903736028892</v>
      </c>
      <c r="J43" s="486">
        <f t="shared" si="19"/>
        <v>0.77001641411546973</v>
      </c>
      <c r="K43" s="486">
        <f t="shared" si="19"/>
        <v>0.73980483828728172</v>
      </c>
      <c r="L43" s="13"/>
    </row>
    <row r="44" spans="1:44" s="40" customFormat="1" x14ac:dyDescent="0.3">
      <c r="A44" s="479" t="s">
        <v>460</v>
      </c>
      <c r="B44" s="477">
        <f>+B40/B42</f>
        <v>0.35897447136795596</v>
      </c>
      <c r="C44" s="477">
        <f t="shared" ref="C44:F44" si="20">+C40/C42</f>
        <v>0.48571421593847075</v>
      </c>
      <c r="D44" s="477">
        <f t="shared" si="20"/>
        <v>0.54166686452630031</v>
      </c>
      <c r="E44" s="477">
        <f t="shared" si="20"/>
        <v>1</v>
      </c>
      <c r="F44" s="477">
        <f t="shared" si="20"/>
        <v>0.42499999999999999</v>
      </c>
      <c r="G44" s="487">
        <v>0.42499999999999999</v>
      </c>
      <c r="H44" s="487">
        <v>0.42499999999999999</v>
      </c>
      <c r="I44" s="487">
        <v>0.42499999999999999</v>
      </c>
      <c r="J44" s="487">
        <v>0.42499999999999999</v>
      </c>
      <c r="K44" s="487">
        <v>0.42499999999999999</v>
      </c>
      <c r="L44" s="13"/>
    </row>
    <row r="45" spans="1:44" s="40" customFormat="1" x14ac:dyDescent="0.3">
      <c r="A45" s="479" t="s">
        <v>461</v>
      </c>
      <c r="B45" s="477">
        <f>+B41/B42</f>
        <v>0.64102552863204409</v>
      </c>
      <c r="C45" s="477">
        <f t="shared" ref="C45:F45" si="21">+C41/C42</f>
        <v>0.51428578406152925</v>
      </c>
      <c r="D45" s="477">
        <f t="shared" si="21"/>
        <v>0.45833313547369969</v>
      </c>
      <c r="E45" s="480" t="s">
        <v>82</v>
      </c>
      <c r="F45" s="477">
        <f t="shared" si="21"/>
        <v>0.57499999999999996</v>
      </c>
      <c r="G45" s="487">
        <v>0.57499999999999996</v>
      </c>
      <c r="H45" s="487">
        <v>0.57499999999999996</v>
      </c>
      <c r="I45" s="487">
        <v>0.57499999999999996</v>
      </c>
      <c r="J45" s="487">
        <v>0.57499999999999996</v>
      </c>
      <c r="K45" s="487">
        <v>0.57499999999999996</v>
      </c>
      <c r="L45" s="13"/>
      <c r="M45" s="469"/>
      <c r="N45" s="469"/>
      <c r="O45" s="469"/>
      <c r="P45" s="469"/>
      <c r="Q45" s="469"/>
      <c r="R45" s="469"/>
      <c r="S45" s="469"/>
      <c r="T45" s="469"/>
      <c r="U45" s="469"/>
      <c r="V45" s="469"/>
      <c r="W45" s="469"/>
      <c r="X45" s="469"/>
      <c r="Y45" s="469"/>
      <c r="Z45" s="469"/>
      <c r="AA45" s="469"/>
      <c r="AB45" s="469"/>
      <c r="AC45" s="469"/>
      <c r="AD45" s="469"/>
      <c r="AE45" s="469"/>
      <c r="AF45" s="469"/>
      <c r="AG45" s="469"/>
      <c r="AH45" s="469"/>
      <c r="AI45" s="469"/>
      <c r="AJ45" s="469"/>
      <c r="AK45" s="469"/>
      <c r="AL45" s="469"/>
      <c r="AM45" s="469"/>
      <c r="AN45" s="469"/>
      <c r="AO45" s="469"/>
      <c r="AP45" s="469"/>
      <c r="AQ45" s="469"/>
      <c r="AR45" s="469"/>
    </row>
    <row r="46" spans="1:44" x14ac:dyDescent="0.3">
      <c r="A46" s="472" t="s">
        <v>90</v>
      </c>
      <c r="B46" s="74">
        <v>0</v>
      </c>
      <c r="C46" s="74">
        <v>0</v>
      </c>
      <c r="D46" s="74">
        <v>0</v>
      </c>
      <c r="E46" s="74">
        <v>0</v>
      </c>
      <c r="F46" s="74">
        <v>0</v>
      </c>
      <c r="G46" s="175">
        <v>0</v>
      </c>
      <c r="H46" s="175">
        <v>0</v>
      </c>
      <c r="I46" s="175">
        <v>0</v>
      </c>
      <c r="J46" s="175">
        <v>0</v>
      </c>
      <c r="K46" s="175">
        <v>0</v>
      </c>
      <c r="L46" s="13"/>
      <c r="M46" s="470"/>
      <c r="N46" s="470"/>
      <c r="O46" s="470"/>
      <c r="P46" s="470"/>
      <c r="Q46" s="470"/>
      <c r="R46" s="470"/>
      <c r="S46" s="470"/>
      <c r="T46" s="470"/>
      <c r="U46" s="470"/>
      <c r="V46" s="470"/>
      <c r="W46" s="470"/>
      <c r="X46" s="470"/>
      <c r="Y46" s="470"/>
      <c r="Z46" s="470"/>
      <c r="AA46" s="470"/>
      <c r="AB46" s="470"/>
      <c r="AC46" s="470"/>
      <c r="AD46" s="470"/>
      <c r="AE46" s="470"/>
      <c r="AF46" s="470"/>
      <c r="AG46" s="470"/>
      <c r="AH46" s="470"/>
      <c r="AI46" s="470"/>
      <c r="AJ46" s="470"/>
      <c r="AK46" s="470"/>
      <c r="AL46" s="470"/>
      <c r="AM46" s="470"/>
      <c r="AN46" s="470"/>
      <c r="AO46" s="470"/>
      <c r="AP46" s="470"/>
      <c r="AQ46" s="470"/>
      <c r="AR46" s="470"/>
    </row>
    <row r="47" spans="1:44" s="81" customFormat="1" x14ac:dyDescent="0.3">
      <c r="A47" s="474" t="s">
        <v>447</v>
      </c>
      <c r="B47" s="113">
        <f t="shared" ref="B47:K47" si="22">+B35+B38+B42+B46</f>
        <v>4971882</v>
      </c>
      <c r="C47" s="113">
        <f t="shared" si="22"/>
        <v>5600028</v>
      </c>
      <c r="D47" s="113">
        <f t="shared" si="22"/>
        <v>6231783</v>
      </c>
      <c r="E47" s="113">
        <f t="shared" si="22"/>
        <v>7136671</v>
      </c>
      <c r="F47" s="113">
        <f t="shared" si="22"/>
        <v>8410456</v>
      </c>
      <c r="G47" s="356">
        <f t="shared" si="22"/>
        <v>9227450.6045130566</v>
      </c>
      <c r="H47" s="356">
        <f t="shared" si="22"/>
        <v>10218918.227395572</v>
      </c>
      <c r="I47" s="356">
        <f t="shared" si="22"/>
        <v>11270143.402482903</v>
      </c>
      <c r="J47" s="356">
        <f t="shared" si="22"/>
        <v>12415721.409840705</v>
      </c>
      <c r="K47" s="356">
        <f t="shared" si="22"/>
        <v>13900477.008831937</v>
      </c>
      <c r="L47" s="13"/>
      <c r="M47" s="471"/>
      <c r="N47" s="471"/>
      <c r="O47" s="471"/>
      <c r="P47" s="471"/>
      <c r="Q47" s="471"/>
      <c r="R47" s="471"/>
      <c r="S47" s="471"/>
      <c r="T47" s="471"/>
      <c r="U47" s="471"/>
      <c r="V47" s="471"/>
      <c r="W47" s="471"/>
      <c r="X47" s="471"/>
      <c r="Y47" s="471"/>
      <c r="Z47" s="471"/>
      <c r="AA47" s="471"/>
      <c r="AB47" s="471"/>
      <c r="AC47" s="471"/>
      <c r="AD47" s="471"/>
      <c r="AE47" s="471"/>
      <c r="AF47" s="471"/>
      <c r="AG47" s="471"/>
      <c r="AH47" s="471"/>
      <c r="AI47" s="471"/>
      <c r="AJ47" s="471"/>
      <c r="AK47" s="471"/>
      <c r="AL47" s="471"/>
      <c r="AM47" s="471"/>
      <c r="AN47" s="471"/>
      <c r="AO47" s="471"/>
      <c r="AP47" s="471"/>
      <c r="AQ47" s="471"/>
      <c r="AR47" s="471"/>
    </row>
    <row r="48" spans="1:44" s="1" customFormat="1" x14ac:dyDescent="0.3">
      <c r="A48" s="475"/>
      <c r="B48" s="481">
        <f>+'P&amp;L-SOFP-Ratios'!B59</f>
        <v>4971882</v>
      </c>
      <c r="C48" s="481">
        <f>+'P&amp;L-SOFP-Ratios'!C59</f>
        <v>5600028</v>
      </c>
      <c r="D48" s="481">
        <f>+'P&amp;L-SOFP-Ratios'!D59</f>
        <v>6231783</v>
      </c>
      <c r="E48" s="481">
        <f>+'P&amp;L-SOFP-Ratios'!E59</f>
        <v>7136671</v>
      </c>
      <c r="F48" s="481">
        <f>+'P&amp;L-SOFP-Ratios'!F59</f>
        <v>8410456</v>
      </c>
      <c r="G48" s="488">
        <f>+'P&amp;L-SOFP-Ratios'!G59</f>
        <v>9227450.6045130566</v>
      </c>
      <c r="H48" s="488">
        <f>+'P&amp;L-SOFP-Ratios'!H59</f>
        <v>10218918.227395572</v>
      </c>
      <c r="I48" s="488">
        <f>+'P&amp;L-SOFP-Ratios'!I59</f>
        <v>11270143.402482903</v>
      </c>
      <c r="J48" s="488">
        <f>+'P&amp;L-SOFP-Ratios'!J59</f>
        <v>12415721.409840705</v>
      </c>
      <c r="K48" s="488">
        <f>+'P&amp;L-SOFP-Ratios'!K59</f>
        <v>13900477.008831937</v>
      </c>
      <c r="L48" s="13"/>
      <c r="M48" s="471"/>
      <c r="N48" s="471"/>
      <c r="O48" s="471"/>
      <c r="P48" s="471"/>
      <c r="Q48" s="471"/>
      <c r="R48" s="471"/>
      <c r="S48" s="471"/>
      <c r="T48" s="471"/>
      <c r="U48" s="471"/>
      <c r="V48" s="471"/>
      <c r="W48" s="471"/>
      <c r="X48" s="471"/>
      <c r="Y48" s="471"/>
      <c r="Z48" s="471"/>
      <c r="AA48" s="471"/>
      <c r="AB48" s="471"/>
      <c r="AC48" s="471"/>
      <c r="AD48" s="471"/>
      <c r="AE48" s="471"/>
      <c r="AF48" s="471"/>
      <c r="AG48" s="471"/>
      <c r="AH48" s="471"/>
      <c r="AI48" s="471"/>
      <c r="AJ48" s="471"/>
      <c r="AK48" s="471"/>
      <c r="AL48" s="471"/>
      <c r="AM48" s="471"/>
      <c r="AN48" s="471"/>
      <c r="AO48" s="471"/>
      <c r="AP48" s="471"/>
      <c r="AQ48" s="471"/>
      <c r="AR48" s="471"/>
    </row>
    <row r="49" spans="1:44" s="1" customFormat="1" x14ac:dyDescent="0.3">
      <c r="A49" s="229"/>
      <c r="B49" s="230">
        <f>+B47-B48</f>
        <v>0</v>
      </c>
      <c r="C49" s="230">
        <f t="shared" ref="C49:K49" si="23">+C47-C48</f>
        <v>0</v>
      </c>
      <c r="D49" s="230">
        <f t="shared" si="23"/>
        <v>0</v>
      </c>
      <c r="E49" s="230">
        <f t="shared" si="23"/>
        <v>0</v>
      </c>
      <c r="F49" s="230">
        <f t="shared" si="23"/>
        <v>0</v>
      </c>
      <c r="G49" s="488">
        <f t="shared" si="23"/>
        <v>0</v>
      </c>
      <c r="H49" s="488">
        <f t="shared" si="23"/>
        <v>0</v>
      </c>
      <c r="I49" s="488">
        <f t="shared" si="23"/>
        <v>0</v>
      </c>
      <c r="J49" s="488">
        <f t="shared" si="23"/>
        <v>0</v>
      </c>
      <c r="K49" s="488">
        <f t="shared" si="23"/>
        <v>0</v>
      </c>
      <c r="L49" s="13"/>
      <c r="M49" s="471"/>
      <c r="N49" s="471"/>
      <c r="O49" s="471"/>
      <c r="P49" s="471"/>
      <c r="Q49" s="471"/>
      <c r="R49" s="471"/>
      <c r="S49" s="471"/>
      <c r="T49" s="471"/>
      <c r="U49" s="471"/>
      <c r="V49" s="471"/>
      <c r="W49" s="471"/>
      <c r="X49" s="471"/>
      <c r="Y49" s="471"/>
      <c r="Z49" s="471"/>
      <c r="AA49" s="471"/>
      <c r="AB49" s="471"/>
      <c r="AC49" s="471"/>
      <c r="AD49" s="471"/>
      <c r="AE49" s="471"/>
      <c r="AF49" s="471"/>
      <c r="AG49" s="471"/>
      <c r="AH49" s="471"/>
      <c r="AI49" s="471"/>
      <c r="AJ49" s="471"/>
      <c r="AK49" s="471"/>
      <c r="AL49" s="471"/>
      <c r="AM49" s="471"/>
      <c r="AN49" s="471"/>
      <c r="AO49" s="471"/>
      <c r="AP49" s="471"/>
      <c r="AQ49" s="471"/>
      <c r="AR49" s="471"/>
    </row>
    <row r="50" spans="1:44" x14ac:dyDescent="0.3">
      <c r="B50" s="193"/>
      <c r="C50" s="193"/>
      <c r="D50" s="193"/>
      <c r="E50" s="193"/>
      <c r="F50" s="193"/>
      <c r="G50" s="489"/>
      <c r="H50" s="489"/>
      <c r="I50" s="489"/>
      <c r="J50" s="489"/>
      <c r="K50" s="489"/>
      <c r="L50" s="13"/>
      <c r="M50" s="470"/>
      <c r="N50" s="470"/>
      <c r="O50" s="470"/>
      <c r="P50" s="470"/>
      <c r="Q50" s="470"/>
      <c r="R50" s="470"/>
      <c r="S50" s="470"/>
      <c r="T50" s="470"/>
      <c r="U50" s="470"/>
      <c r="V50" s="470"/>
      <c r="W50" s="470"/>
      <c r="X50" s="470"/>
      <c r="Y50" s="470"/>
      <c r="Z50" s="470"/>
      <c r="AA50" s="470"/>
      <c r="AB50" s="470"/>
      <c r="AC50" s="470"/>
      <c r="AD50" s="470"/>
      <c r="AE50" s="470"/>
      <c r="AF50" s="470"/>
      <c r="AG50" s="470"/>
      <c r="AH50" s="470"/>
      <c r="AI50" s="470"/>
      <c r="AJ50" s="470"/>
      <c r="AK50" s="470"/>
      <c r="AL50" s="470"/>
      <c r="AM50" s="470"/>
      <c r="AN50" s="470"/>
      <c r="AO50" s="470"/>
      <c r="AP50" s="470"/>
      <c r="AQ50" s="470"/>
      <c r="AR50" s="470"/>
    </row>
    <row r="51" spans="1:44" x14ac:dyDescent="0.3">
      <c r="B51" s="231">
        <f>+B47+B32+B27+B21+B15</f>
        <v>11701422</v>
      </c>
      <c r="C51" s="231">
        <f t="shared" ref="C51:K51" si="24">+C47+C32+C21+C15</f>
        <v>13925255</v>
      </c>
      <c r="D51" s="231">
        <f t="shared" si="24"/>
        <v>15648643</v>
      </c>
      <c r="E51" s="231">
        <f t="shared" si="24"/>
        <v>17764224</v>
      </c>
      <c r="F51" s="231">
        <f t="shared" si="24"/>
        <v>28225869</v>
      </c>
      <c r="G51" s="490">
        <f t="shared" si="24"/>
        <v>31627515.004513055</v>
      </c>
      <c r="H51" s="490">
        <f t="shared" si="24"/>
        <v>35203634.027395569</v>
      </c>
      <c r="I51" s="490">
        <f t="shared" si="24"/>
        <v>39245393.502482899</v>
      </c>
      <c r="J51" s="490">
        <f t="shared" si="24"/>
        <v>43614093.109840706</v>
      </c>
      <c r="K51" s="490">
        <f t="shared" si="24"/>
        <v>48671030.283831939</v>
      </c>
      <c r="L51" s="13"/>
      <c r="M51" s="470"/>
      <c r="N51" s="470"/>
      <c r="O51" s="470"/>
      <c r="P51" s="470"/>
      <c r="Q51" s="470"/>
      <c r="R51" s="470"/>
      <c r="S51" s="470"/>
      <c r="T51" s="470"/>
      <c r="U51" s="470"/>
      <c r="V51" s="470"/>
      <c r="W51" s="470"/>
      <c r="X51" s="470"/>
      <c r="Y51" s="470"/>
      <c r="Z51" s="470"/>
      <c r="AA51" s="470"/>
      <c r="AB51" s="470"/>
      <c r="AC51" s="470"/>
      <c r="AD51" s="470"/>
      <c r="AE51" s="470"/>
      <c r="AF51" s="470"/>
      <c r="AG51" s="470"/>
      <c r="AH51" s="470"/>
      <c r="AI51" s="470"/>
      <c r="AJ51" s="470"/>
      <c r="AK51" s="470"/>
      <c r="AL51" s="470"/>
      <c r="AM51" s="470"/>
      <c r="AN51" s="470"/>
      <c r="AO51" s="470"/>
      <c r="AP51" s="470"/>
      <c r="AQ51" s="470"/>
      <c r="AR51" s="470"/>
    </row>
    <row r="52" spans="1:44" x14ac:dyDescent="0.3">
      <c r="B52" s="232">
        <f>+'P&amp;L-SOFP-Ratios'!B60</f>
        <v>11701422</v>
      </c>
      <c r="C52" s="232">
        <f>+'P&amp;L-SOFP-Ratios'!C60</f>
        <v>13925255</v>
      </c>
      <c r="D52" s="232">
        <f>+'P&amp;L-SOFP-Ratios'!D60</f>
        <v>15648643</v>
      </c>
      <c r="E52" s="232">
        <f>+'P&amp;L-SOFP-Ratios'!E60</f>
        <v>17764224</v>
      </c>
      <c r="F52" s="232">
        <f>+'P&amp;L-SOFP-Ratios'!F60</f>
        <v>28225869</v>
      </c>
      <c r="G52" s="491">
        <f>+'P&amp;L-SOFP-Ratios'!G60</f>
        <v>31627515.004513055</v>
      </c>
      <c r="H52" s="491">
        <f>+'P&amp;L-SOFP-Ratios'!H60</f>
        <v>35203634.027395569</v>
      </c>
      <c r="I52" s="491">
        <f>+'P&amp;L-SOFP-Ratios'!I60</f>
        <v>39245393.502482899</v>
      </c>
      <c r="J52" s="491">
        <f>+'P&amp;L-SOFP-Ratios'!J60</f>
        <v>43614093.109840706</v>
      </c>
      <c r="K52" s="491">
        <f>+'P&amp;L-SOFP-Ratios'!K60</f>
        <v>48671030.283831939</v>
      </c>
      <c r="L52" s="13"/>
      <c r="M52" s="470"/>
      <c r="N52" s="470"/>
      <c r="O52" s="470"/>
      <c r="P52" s="470"/>
      <c r="Q52" s="470"/>
      <c r="R52" s="470"/>
      <c r="S52" s="470"/>
      <c r="T52" s="470"/>
      <c r="U52" s="470"/>
      <c r="V52" s="470"/>
      <c r="W52" s="470"/>
      <c r="X52" s="470"/>
      <c r="Y52" s="470"/>
      <c r="Z52" s="470"/>
      <c r="AA52" s="470"/>
      <c r="AB52" s="470"/>
      <c r="AC52" s="470"/>
      <c r="AD52" s="470"/>
      <c r="AE52" s="470"/>
      <c r="AF52" s="470"/>
      <c r="AG52" s="470"/>
      <c r="AH52" s="470"/>
      <c r="AI52" s="470"/>
      <c r="AJ52" s="470"/>
      <c r="AK52" s="470"/>
      <c r="AL52" s="470"/>
      <c r="AM52" s="470"/>
      <c r="AN52" s="470"/>
      <c r="AO52" s="470"/>
      <c r="AP52" s="470"/>
      <c r="AQ52" s="470"/>
      <c r="AR52" s="470"/>
    </row>
    <row r="53" spans="1:44" x14ac:dyDescent="0.3">
      <c r="B53" s="195">
        <f>+B51-B52</f>
        <v>0</v>
      </c>
      <c r="C53" s="195">
        <f t="shared" ref="C53:K53" si="25">+C51-C52</f>
        <v>0</v>
      </c>
      <c r="D53" s="195">
        <f t="shared" si="25"/>
        <v>0</v>
      </c>
      <c r="E53" s="195">
        <f t="shared" si="25"/>
        <v>0</v>
      </c>
      <c r="F53" s="195">
        <f t="shared" si="25"/>
        <v>0</v>
      </c>
      <c r="G53" s="492">
        <f t="shared" si="25"/>
        <v>0</v>
      </c>
      <c r="H53" s="492">
        <f t="shared" si="25"/>
        <v>0</v>
      </c>
      <c r="I53" s="492">
        <f t="shared" si="25"/>
        <v>0</v>
      </c>
      <c r="J53" s="492">
        <f t="shared" si="25"/>
        <v>0</v>
      </c>
      <c r="K53" s="492">
        <f t="shared" si="25"/>
        <v>0</v>
      </c>
      <c r="L53" s="13"/>
      <c r="M53" s="470"/>
      <c r="N53" s="470"/>
      <c r="O53" s="470"/>
      <c r="P53" s="470"/>
      <c r="Q53" s="470"/>
      <c r="R53" s="470"/>
      <c r="S53" s="470"/>
      <c r="T53" s="470"/>
      <c r="U53" s="470"/>
      <c r="V53" s="470"/>
      <c r="W53" s="470"/>
      <c r="X53" s="470"/>
      <c r="Y53" s="470"/>
      <c r="Z53" s="470"/>
      <c r="AA53" s="470"/>
      <c r="AB53" s="470"/>
      <c r="AC53" s="470"/>
      <c r="AD53" s="470"/>
      <c r="AE53" s="470"/>
      <c r="AF53" s="470"/>
      <c r="AG53" s="470"/>
      <c r="AH53" s="470"/>
      <c r="AI53" s="470"/>
      <c r="AJ53" s="470"/>
      <c r="AK53" s="470"/>
      <c r="AL53" s="470"/>
      <c r="AM53" s="470"/>
      <c r="AN53" s="470"/>
      <c r="AO53" s="470"/>
      <c r="AP53" s="470"/>
      <c r="AQ53" s="470"/>
      <c r="AR53" s="470"/>
    </row>
    <row r="54" spans="1:44" x14ac:dyDescent="0.3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470"/>
      <c r="N54" s="470"/>
      <c r="O54" s="470"/>
      <c r="P54" s="470"/>
      <c r="Q54" s="470"/>
      <c r="R54" s="470"/>
      <c r="S54" s="470"/>
      <c r="T54" s="470"/>
      <c r="U54" s="470"/>
      <c r="V54" s="470"/>
      <c r="W54" s="470"/>
      <c r="X54" s="470"/>
      <c r="Y54" s="470"/>
      <c r="Z54" s="470"/>
      <c r="AA54" s="470"/>
      <c r="AB54" s="470"/>
      <c r="AC54" s="470"/>
      <c r="AD54" s="470"/>
      <c r="AE54" s="470"/>
      <c r="AF54" s="470"/>
      <c r="AG54" s="470"/>
      <c r="AH54" s="470"/>
      <c r="AI54" s="470"/>
      <c r="AJ54" s="470"/>
      <c r="AK54" s="470"/>
      <c r="AL54" s="470"/>
      <c r="AM54" s="470"/>
      <c r="AN54" s="470"/>
      <c r="AO54" s="470"/>
      <c r="AP54" s="470"/>
      <c r="AQ54" s="470"/>
      <c r="AR54" s="470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topLeftCell="A22" workbookViewId="0">
      <selection activeCell="I31" sqref="I31"/>
    </sheetView>
  </sheetViews>
  <sheetFormatPr defaultRowHeight="14.4" x14ac:dyDescent="0.3"/>
  <cols>
    <col min="1" max="1" width="45.5546875" bestFit="1" customWidth="1"/>
    <col min="2" max="2" width="11.109375" bestFit="1" customWidth="1"/>
    <col min="3" max="3" width="25.6640625" bestFit="1" customWidth="1"/>
    <col min="4" max="4" width="13.33203125" bestFit="1" customWidth="1"/>
    <col min="5" max="5" width="15.33203125" customWidth="1"/>
    <col min="6" max="6" width="13.33203125" bestFit="1" customWidth="1"/>
    <col min="7" max="7" width="12.33203125" bestFit="1" customWidth="1"/>
    <col min="8" max="8" width="8" customWidth="1"/>
    <col min="9" max="9" width="12.33203125" bestFit="1" customWidth="1"/>
    <col min="10" max="10" width="14.33203125" bestFit="1" customWidth="1"/>
  </cols>
  <sheetData>
    <row r="1" spans="1:10" x14ac:dyDescent="0.3">
      <c r="A1" t="s">
        <v>218</v>
      </c>
    </row>
    <row r="2" spans="1:10" x14ac:dyDescent="0.3">
      <c r="A2" t="s">
        <v>219</v>
      </c>
      <c r="D2" t="s">
        <v>220</v>
      </c>
      <c r="E2" t="s">
        <v>221</v>
      </c>
      <c r="F2" t="s">
        <v>222</v>
      </c>
      <c r="G2" t="s">
        <v>244</v>
      </c>
      <c r="H2" t="s">
        <v>224</v>
      </c>
      <c r="I2" t="s">
        <v>225</v>
      </c>
      <c r="J2" t="s">
        <v>181</v>
      </c>
    </row>
    <row r="3" spans="1:10" x14ac:dyDescent="0.3">
      <c r="D3" t="s">
        <v>226</v>
      </c>
      <c r="E3" t="s">
        <v>227</v>
      </c>
      <c r="F3" t="s">
        <v>245</v>
      </c>
      <c r="G3" t="s">
        <v>229</v>
      </c>
      <c r="H3" t="s">
        <v>230</v>
      </c>
      <c r="I3" t="s">
        <v>231</v>
      </c>
    </row>
    <row r="4" spans="1:10" x14ac:dyDescent="0.3">
      <c r="D4" t="s">
        <v>246</v>
      </c>
      <c r="E4" t="s">
        <v>229</v>
      </c>
      <c r="F4" t="s">
        <v>233</v>
      </c>
      <c r="H4" t="s">
        <v>229</v>
      </c>
    </row>
    <row r="5" spans="1:10" x14ac:dyDescent="0.3">
      <c r="E5" t="s">
        <v>234</v>
      </c>
      <c r="F5" t="s">
        <v>229</v>
      </c>
    </row>
    <row r="6" spans="1:10" x14ac:dyDescent="0.3">
      <c r="A6" t="s">
        <v>247</v>
      </c>
    </row>
    <row r="7" spans="1:10" x14ac:dyDescent="0.3">
      <c r="A7" t="s">
        <v>183</v>
      </c>
      <c r="D7" s="6">
        <v>3241938</v>
      </c>
      <c r="E7" s="6">
        <v>9168550</v>
      </c>
      <c r="F7" s="6">
        <v>854908</v>
      </c>
      <c r="G7" s="6">
        <v>181262</v>
      </c>
      <c r="H7" s="6">
        <v>393103</v>
      </c>
      <c r="I7" s="6">
        <v>21865</v>
      </c>
      <c r="J7" s="6">
        <v>13861626</v>
      </c>
    </row>
    <row r="8" spans="1:10" x14ac:dyDescent="0.3">
      <c r="A8" t="s">
        <v>184</v>
      </c>
      <c r="D8" s="6">
        <v>-669130</v>
      </c>
      <c r="E8" s="6">
        <v>-6093934</v>
      </c>
      <c r="F8" s="6">
        <v>-653762</v>
      </c>
      <c r="G8" s="6">
        <v>-153242</v>
      </c>
      <c r="H8" s="6">
        <v>-325227</v>
      </c>
      <c r="I8" s="6">
        <v>-12107</v>
      </c>
      <c r="J8" s="6">
        <v>-7907402</v>
      </c>
    </row>
    <row r="9" spans="1:10" x14ac:dyDescent="0.3">
      <c r="A9" t="s">
        <v>185</v>
      </c>
      <c r="D9" s="6">
        <v>2572808</v>
      </c>
      <c r="E9" s="6">
        <v>3074616</v>
      </c>
      <c r="F9" s="6">
        <v>201146</v>
      </c>
      <c r="G9" s="6">
        <v>28020</v>
      </c>
      <c r="H9" s="6">
        <v>67876</v>
      </c>
      <c r="I9" s="6">
        <v>9758</v>
      </c>
      <c r="J9" s="6">
        <v>5954224</v>
      </c>
    </row>
    <row r="10" spans="1:10" x14ac:dyDescent="0.3">
      <c r="A10" t="s">
        <v>248</v>
      </c>
      <c r="D10" s="6"/>
      <c r="E10" s="6"/>
      <c r="F10" s="6"/>
      <c r="G10" s="6"/>
      <c r="H10" s="6"/>
      <c r="I10" s="6"/>
      <c r="J10" s="6"/>
    </row>
    <row r="11" spans="1:10" x14ac:dyDescent="0.3">
      <c r="A11" t="s">
        <v>187</v>
      </c>
      <c r="D11" s="6">
        <v>2572808</v>
      </c>
      <c r="E11" s="6">
        <v>3074616</v>
      </c>
      <c r="F11" s="6">
        <v>201146</v>
      </c>
      <c r="G11" s="6">
        <v>28020</v>
      </c>
      <c r="H11" s="6">
        <v>67876</v>
      </c>
      <c r="I11" s="6">
        <v>9758</v>
      </c>
      <c r="J11" s="6">
        <v>5954224</v>
      </c>
    </row>
    <row r="12" spans="1:10" x14ac:dyDescent="0.3">
      <c r="A12" t="s">
        <v>237</v>
      </c>
      <c r="D12" s="6">
        <v>47150</v>
      </c>
      <c r="E12" s="6">
        <v>1406362</v>
      </c>
      <c r="F12" s="6">
        <v>198912</v>
      </c>
      <c r="G12" s="6">
        <v>3090</v>
      </c>
      <c r="H12" s="6">
        <v>51445</v>
      </c>
      <c r="I12" s="6">
        <v>10295</v>
      </c>
      <c r="J12" s="6">
        <v>1717254</v>
      </c>
    </row>
    <row r="13" spans="1:10" x14ac:dyDescent="0.3">
      <c r="A13" t="s">
        <v>249</v>
      </c>
      <c r="B13" t="s">
        <v>250</v>
      </c>
      <c r="C13" t="s">
        <v>251</v>
      </c>
      <c r="D13" s="6" t="s">
        <v>82</v>
      </c>
      <c r="E13" s="6">
        <v>-383827</v>
      </c>
      <c r="F13" s="6">
        <v>-64670</v>
      </c>
      <c r="G13" s="6">
        <v>-10140</v>
      </c>
      <c r="H13" s="6">
        <v>-49641</v>
      </c>
      <c r="I13" s="6" t="s">
        <v>82</v>
      </c>
      <c r="J13" s="6">
        <v>-508278</v>
      </c>
    </row>
    <row r="14" spans="1:10" x14ac:dyDescent="0.3">
      <c r="B14" t="s">
        <v>250</v>
      </c>
      <c r="C14" t="s">
        <v>252</v>
      </c>
      <c r="D14" s="6" t="s">
        <v>82</v>
      </c>
      <c r="E14" s="6">
        <v>371665</v>
      </c>
      <c r="F14" s="6">
        <v>64370</v>
      </c>
      <c r="G14" s="6">
        <v>10102</v>
      </c>
      <c r="H14" s="6">
        <v>49617</v>
      </c>
      <c r="I14" s="6" t="s">
        <v>82</v>
      </c>
      <c r="J14" s="6">
        <v>495754</v>
      </c>
    </row>
    <row r="15" spans="1:10" x14ac:dyDescent="0.3">
      <c r="A15" t="s">
        <v>253</v>
      </c>
      <c r="B15" t="s">
        <v>250</v>
      </c>
      <c r="C15" t="s">
        <v>251</v>
      </c>
      <c r="D15" s="6">
        <v>431</v>
      </c>
      <c r="E15" s="6">
        <v>5112</v>
      </c>
      <c r="F15" s="6">
        <v>-830</v>
      </c>
      <c r="G15" s="6">
        <v>524</v>
      </c>
      <c r="H15" s="6">
        <v>91</v>
      </c>
      <c r="I15" s="6">
        <v>-7</v>
      </c>
      <c r="J15" s="6">
        <v>5321</v>
      </c>
    </row>
    <row r="16" spans="1:10" x14ac:dyDescent="0.3">
      <c r="B16" t="s">
        <v>250</v>
      </c>
      <c r="C16" t="s">
        <v>252</v>
      </c>
      <c r="D16" s="6">
        <v>187</v>
      </c>
      <c r="E16" s="6">
        <v>-4538</v>
      </c>
      <c r="F16" s="6">
        <v>167</v>
      </c>
      <c r="G16" s="6">
        <v>-455</v>
      </c>
      <c r="H16" s="6">
        <v>-152</v>
      </c>
      <c r="I16" s="6">
        <v>3</v>
      </c>
      <c r="J16" s="6">
        <v>-4788</v>
      </c>
    </row>
    <row r="17" spans="1:10" x14ac:dyDescent="0.3">
      <c r="A17" t="s">
        <v>254</v>
      </c>
      <c r="D17" s="6">
        <v>81761</v>
      </c>
      <c r="E17" s="6">
        <v>120740</v>
      </c>
      <c r="F17" s="6">
        <v>10001</v>
      </c>
      <c r="G17" s="6">
        <v>666</v>
      </c>
      <c r="H17" s="6">
        <v>2616</v>
      </c>
      <c r="I17" s="6">
        <v>437</v>
      </c>
      <c r="J17" s="6">
        <v>216221</v>
      </c>
    </row>
    <row r="18" spans="1:10" x14ac:dyDescent="0.3">
      <c r="A18" t="s">
        <v>195</v>
      </c>
      <c r="D18" s="6">
        <v>-116735</v>
      </c>
      <c r="E18" s="6">
        <v>-666736</v>
      </c>
      <c r="F18" s="6">
        <v>-76394</v>
      </c>
      <c r="G18" s="6">
        <v>-11790</v>
      </c>
      <c r="H18" s="6">
        <v>-37080</v>
      </c>
      <c r="I18" s="6">
        <v>-6088</v>
      </c>
      <c r="J18" s="6">
        <v>-914823</v>
      </c>
    </row>
    <row r="19" spans="1:10" x14ac:dyDescent="0.3">
      <c r="A19" t="s">
        <v>196</v>
      </c>
      <c r="D19" s="6">
        <v>2585602</v>
      </c>
      <c r="E19" s="6">
        <v>3923394</v>
      </c>
      <c r="F19" s="6">
        <v>332702</v>
      </c>
      <c r="G19" s="6">
        <v>20017</v>
      </c>
      <c r="H19" s="6">
        <v>84772</v>
      </c>
      <c r="I19" s="6">
        <v>14398</v>
      </c>
      <c r="J19" s="6">
        <v>6960885</v>
      </c>
    </row>
    <row r="20" spans="1:10" x14ac:dyDescent="0.3">
      <c r="A20" t="s">
        <v>255</v>
      </c>
      <c r="D20" s="6"/>
      <c r="E20" s="6"/>
      <c r="F20" s="6"/>
      <c r="G20" s="6"/>
      <c r="H20" s="6"/>
      <c r="I20" s="6"/>
      <c r="J20" s="6"/>
    </row>
    <row r="21" spans="1:10" x14ac:dyDescent="0.3">
      <c r="A21" t="s">
        <v>183</v>
      </c>
      <c r="D21" s="6">
        <v>3396367</v>
      </c>
      <c r="E21" s="6">
        <v>10523753</v>
      </c>
      <c r="F21" s="6">
        <v>1019932</v>
      </c>
      <c r="G21" s="6">
        <v>180450</v>
      </c>
      <c r="H21" s="6">
        <v>407844</v>
      </c>
      <c r="I21" s="6">
        <v>33158</v>
      </c>
      <c r="J21" s="6">
        <v>15561504</v>
      </c>
    </row>
    <row r="22" spans="1:10" x14ac:dyDescent="0.3">
      <c r="A22" t="s">
        <v>184</v>
      </c>
      <c r="D22" s="6">
        <v>-810765</v>
      </c>
      <c r="E22" s="6">
        <v>-6600359</v>
      </c>
      <c r="F22" s="6">
        <v>-687230</v>
      </c>
      <c r="G22" s="6">
        <v>-160433</v>
      </c>
      <c r="H22" s="6">
        <v>-323062</v>
      </c>
      <c r="I22" s="6">
        <v>-18760</v>
      </c>
      <c r="J22" s="6">
        <v>-8600619</v>
      </c>
    </row>
    <row r="23" spans="1:10" x14ac:dyDescent="0.3">
      <c r="A23" t="s">
        <v>185</v>
      </c>
      <c r="D23" s="6">
        <v>2585602</v>
      </c>
      <c r="E23" s="6">
        <v>3923394</v>
      </c>
      <c r="F23" s="6">
        <v>332702</v>
      </c>
      <c r="G23" s="6">
        <v>20017</v>
      </c>
      <c r="H23" s="6">
        <v>84772</v>
      </c>
      <c r="I23" s="6">
        <v>14398</v>
      </c>
      <c r="J23" s="6">
        <v>6960885</v>
      </c>
    </row>
    <row r="24" spans="1:10" x14ac:dyDescent="0.3">
      <c r="A24" s="94" t="s">
        <v>256</v>
      </c>
      <c r="B24" s="94"/>
      <c r="C24" s="94"/>
      <c r="D24" s="95"/>
      <c r="E24" s="95"/>
      <c r="F24" s="99"/>
      <c r="G24" s="105"/>
      <c r="H24" s="98"/>
      <c r="I24" s="117"/>
      <c r="J24" s="95"/>
    </row>
    <row r="25" spans="1:10" x14ac:dyDescent="0.3">
      <c r="A25" s="94" t="s">
        <v>187</v>
      </c>
      <c r="B25" s="94"/>
      <c r="C25" s="94"/>
      <c r="D25" s="95">
        <v>2585602</v>
      </c>
      <c r="E25" s="95">
        <v>3923394</v>
      </c>
      <c r="F25" s="99">
        <v>332702</v>
      </c>
      <c r="G25" s="103">
        <v>20017</v>
      </c>
      <c r="H25" s="98">
        <v>84772</v>
      </c>
      <c r="I25" s="117">
        <v>14398</v>
      </c>
      <c r="J25" s="95">
        <v>6960885</v>
      </c>
    </row>
    <row r="26" spans="1:10" x14ac:dyDescent="0.3">
      <c r="A26" s="94" t="s">
        <v>237</v>
      </c>
      <c r="B26" s="94"/>
      <c r="C26" s="94"/>
      <c r="D26" s="95">
        <v>159001</v>
      </c>
      <c r="E26" s="95">
        <v>1166805</v>
      </c>
      <c r="F26" s="99">
        <v>138531</v>
      </c>
      <c r="G26" s="103">
        <v>9066</v>
      </c>
      <c r="H26" s="98">
        <v>79370</v>
      </c>
      <c r="I26" s="117" t="s">
        <v>82</v>
      </c>
      <c r="J26" s="95">
        <v>1552773</v>
      </c>
    </row>
    <row r="27" spans="1:10" x14ac:dyDescent="0.3">
      <c r="A27" s="94" t="s">
        <v>249</v>
      </c>
      <c r="B27" s="94"/>
      <c r="C27" s="94" t="s">
        <v>257</v>
      </c>
      <c r="D27" s="95" t="s">
        <v>82</v>
      </c>
      <c r="E27" s="95">
        <v>-23083</v>
      </c>
      <c r="F27" s="99" t="s">
        <v>82</v>
      </c>
      <c r="G27" s="103" t="s">
        <v>82</v>
      </c>
      <c r="H27" s="98">
        <v>-7723</v>
      </c>
      <c r="I27" s="117" t="s">
        <v>82</v>
      </c>
      <c r="J27" s="95">
        <v>-30806</v>
      </c>
    </row>
    <row r="28" spans="1:10" x14ac:dyDescent="0.3">
      <c r="A28" s="94"/>
      <c r="B28" s="94"/>
      <c r="C28" s="94" t="s">
        <v>239</v>
      </c>
      <c r="D28" s="95" t="s">
        <v>82</v>
      </c>
      <c r="E28" s="95">
        <v>22622</v>
      </c>
      <c r="F28" s="99" t="s">
        <v>82</v>
      </c>
      <c r="G28" s="103" t="s">
        <v>82</v>
      </c>
      <c r="H28" s="98">
        <v>6766</v>
      </c>
      <c r="I28" s="117" t="s">
        <v>82</v>
      </c>
      <c r="J28" s="95">
        <v>29388</v>
      </c>
    </row>
    <row r="29" spans="1:10" x14ac:dyDescent="0.3">
      <c r="A29" s="94" t="s">
        <v>253</v>
      </c>
      <c r="B29" s="94"/>
      <c r="C29" s="94" t="s">
        <v>257</v>
      </c>
      <c r="D29" s="95" t="s">
        <v>82</v>
      </c>
      <c r="E29" s="95">
        <v>124</v>
      </c>
      <c r="F29" s="99">
        <v>-338</v>
      </c>
      <c r="G29" s="103">
        <v>238</v>
      </c>
      <c r="H29" s="98">
        <v>125</v>
      </c>
      <c r="I29" s="117">
        <v>-154</v>
      </c>
      <c r="J29" s="95">
        <v>-5</v>
      </c>
    </row>
    <row r="30" spans="1:10" x14ac:dyDescent="0.3">
      <c r="A30" s="94"/>
      <c r="B30" s="94"/>
      <c r="C30" s="94" t="s">
        <v>239</v>
      </c>
      <c r="D30" s="95" t="s">
        <v>82</v>
      </c>
      <c r="E30" s="95" t="s">
        <v>82</v>
      </c>
      <c r="F30" s="99" t="s">
        <v>82</v>
      </c>
      <c r="G30" s="103" t="s">
        <v>82</v>
      </c>
      <c r="H30" s="98" t="s">
        <v>82</v>
      </c>
      <c r="I30" s="117" t="s">
        <v>82</v>
      </c>
      <c r="J30" s="95" t="s">
        <v>82</v>
      </c>
    </row>
    <row r="31" spans="1:10" x14ac:dyDescent="0.3">
      <c r="A31" s="94" t="s">
        <v>254</v>
      </c>
      <c r="B31" s="94"/>
      <c r="C31" s="94"/>
      <c r="D31" s="95">
        <v>29972</v>
      </c>
      <c r="E31" s="95">
        <v>49877</v>
      </c>
      <c r="F31" s="99">
        <v>4809</v>
      </c>
      <c r="G31" s="103">
        <v>224</v>
      </c>
      <c r="H31" s="98">
        <v>1515</v>
      </c>
      <c r="I31" s="117">
        <v>62</v>
      </c>
      <c r="J31" s="95">
        <v>86459</v>
      </c>
    </row>
    <row r="32" spans="1:10" x14ac:dyDescent="0.3">
      <c r="A32" s="94" t="s">
        <v>195</v>
      </c>
      <c r="B32" s="94"/>
      <c r="C32" s="94"/>
      <c r="D32" s="95">
        <v>-122453</v>
      </c>
      <c r="E32" s="95">
        <v>-815072</v>
      </c>
      <c r="F32" s="99">
        <v>-69354</v>
      </c>
      <c r="G32" s="103">
        <v>-9551</v>
      </c>
      <c r="H32" s="98">
        <v>-41431</v>
      </c>
      <c r="I32" s="117">
        <v>-6653</v>
      </c>
      <c r="J32" s="95">
        <v>-1064514</v>
      </c>
    </row>
    <row r="33" spans="1:10" x14ac:dyDescent="0.3">
      <c r="A33" s="94" t="s">
        <v>196</v>
      </c>
      <c r="B33" s="94"/>
      <c r="C33" s="94"/>
      <c r="D33" s="95">
        <v>2652122</v>
      </c>
      <c r="E33" s="95">
        <v>4324667</v>
      </c>
      <c r="F33" s="99">
        <v>406350</v>
      </c>
      <c r="G33" s="103">
        <v>19994</v>
      </c>
      <c r="H33" s="98">
        <v>123394</v>
      </c>
      <c r="I33" s="117">
        <v>7653</v>
      </c>
      <c r="J33" s="95">
        <v>7534180</v>
      </c>
    </row>
    <row r="34" spans="1:10" x14ac:dyDescent="0.3">
      <c r="A34" s="94" t="s">
        <v>258</v>
      </c>
      <c r="B34" s="94"/>
      <c r="C34" s="94"/>
      <c r="D34" s="95"/>
      <c r="E34" s="95"/>
      <c r="F34" s="99"/>
      <c r="G34" s="103"/>
      <c r="H34" s="98"/>
      <c r="I34" s="117"/>
      <c r="J34" s="95"/>
    </row>
    <row r="35" spans="1:10" x14ac:dyDescent="0.3">
      <c r="A35" s="94" t="s">
        <v>183</v>
      </c>
      <c r="B35" s="94"/>
      <c r="C35" s="94"/>
      <c r="D35" s="95">
        <v>3596387</v>
      </c>
      <c r="E35" s="95">
        <v>11804375</v>
      </c>
      <c r="F35" s="99">
        <v>1171787</v>
      </c>
      <c r="G35" s="103">
        <v>191946</v>
      </c>
      <c r="H35" s="98">
        <v>485324</v>
      </c>
      <c r="I35" s="117">
        <v>33379</v>
      </c>
      <c r="J35" s="95">
        <v>17283198</v>
      </c>
    </row>
    <row r="36" spans="1:10" x14ac:dyDescent="0.3">
      <c r="A36" s="94" t="s">
        <v>184</v>
      </c>
      <c r="B36" s="94"/>
      <c r="C36" s="94"/>
      <c r="D36" s="95">
        <v>-944265</v>
      </c>
      <c r="E36" s="95">
        <v>-7479708</v>
      </c>
      <c r="F36" s="99">
        <v>-765437</v>
      </c>
      <c r="G36" s="103">
        <v>-171952</v>
      </c>
      <c r="H36" s="98">
        <v>-361930</v>
      </c>
      <c r="I36" s="117">
        <v>-25726</v>
      </c>
      <c r="J36" s="95">
        <v>-9749018</v>
      </c>
    </row>
    <row r="37" spans="1:10" x14ac:dyDescent="0.3">
      <c r="A37" s="94" t="s">
        <v>185</v>
      </c>
      <c r="B37" s="94"/>
      <c r="C37" s="94"/>
      <c r="D37" s="95">
        <v>2652122</v>
      </c>
      <c r="E37" s="95">
        <v>4324667</v>
      </c>
      <c r="F37" s="99">
        <v>406350</v>
      </c>
      <c r="G37" s="104">
        <v>19994</v>
      </c>
      <c r="H37" s="98">
        <v>123394</v>
      </c>
      <c r="I37" s="117">
        <v>7653</v>
      </c>
      <c r="J37" s="95">
        <v>7534180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topLeftCell="A13" workbookViewId="0">
      <selection activeCell="H28" sqref="A28:H29"/>
    </sheetView>
  </sheetViews>
  <sheetFormatPr defaultRowHeight="14.4" x14ac:dyDescent="0.3"/>
  <cols>
    <col min="1" max="1" width="45.5546875" bestFit="1" customWidth="1"/>
    <col min="2" max="2" width="15.33203125" customWidth="1"/>
    <col min="3" max="3" width="14" bestFit="1" customWidth="1"/>
    <col min="4" max="4" width="28.5546875" bestFit="1" customWidth="1"/>
    <col min="5" max="5" width="5.6640625" customWidth="1"/>
    <col min="6" max="6" width="5.109375" customWidth="1"/>
    <col min="7" max="7" width="4.33203125" customWidth="1"/>
    <col min="8" max="8" width="22.88671875" customWidth="1"/>
    <col min="9" max="9" width="12.109375" bestFit="1" customWidth="1"/>
    <col min="10" max="10" width="15" bestFit="1" customWidth="1"/>
  </cols>
  <sheetData>
    <row r="1" spans="1:13" x14ac:dyDescent="0.3">
      <c r="A1" t="s">
        <v>205</v>
      </c>
      <c r="B1" t="s">
        <v>206</v>
      </c>
      <c r="C1" t="s">
        <v>207</v>
      </c>
      <c r="D1" t="s">
        <v>208</v>
      </c>
      <c r="E1" t="s">
        <v>209</v>
      </c>
      <c r="F1" t="s">
        <v>210</v>
      </c>
      <c r="G1" t="s">
        <v>211</v>
      </c>
      <c r="H1" t="s">
        <v>212</v>
      </c>
      <c r="I1" t="s">
        <v>213</v>
      </c>
      <c r="J1" t="s">
        <v>214</v>
      </c>
    </row>
    <row r="2" spans="1:13" x14ac:dyDescent="0.3">
      <c r="G2" t="s">
        <v>215</v>
      </c>
      <c r="I2" t="s">
        <v>216</v>
      </c>
      <c r="J2" t="s">
        <v>217</v>
      </c>
    </row>
    <row r="3" spans="1:13" x14ac:dyDescent="0.3">
      <c r="A3" t="s">
        <v>218</v>
      </c>
    </row>
    <row r="4" spans="1:13" x14ac:dyDescent="0.3">
      <c r="A4" t="s">
        <v>219</v>
      </c>
      <c r="C4" t="s">
        <v>220</v>
      </c>
      <c r="D4" t="s">
        <v>266</v>
      </c>
      <c r="E4" t="s">
        <v>222</v>
      </c>
      <c r="F4" t="s">
        <v>201</v>
      </c>
      <c r="G4" t="s">
        <v>224</v>
      </c>
      <c r="H4" t="s">
        <v>225</v>
      </c>
      <c r="J4" t="s">
        <v>181</v>
      </c>
    </row>
    <row r="5" spans="1:13" x14ac:dyDescent="0.3">
      <c r="C5" t="s">
        <v>226</v>
      </c>
      <c r="E5" t="s">
        <v>228</v>
      </c>
      <c r="G5" t="s">
        <v>230</v>
      </c>
      <c r="H5" t="s">
        <v>231</v>
      </c>
    </row>
    <row r="6" spans="1:13" x14ac:dyDescent="0.3">
      <c r="C6" t="s">
        <v>232</v>
      </c>
      <c r="E6" t="s">
        <v>233</v>
      </c>
      <c r="G6" t="s">
        <v>229</v>
      </c>
    </row>
    <row r="7" spans="1:13" x14ac:dyDescent="0.3">
      <c r="E7" t="s">
        <v>229</v>
      </c>
    </row>
    <row r="8" spans="1:13" x14ac:dyDescent="0.3">
      <c r="A8" t="s">
        <v>235</v>
      </c>
    </row>
    <row r="9" spans="1:13" x14ac:dyDescent="0.3">
      <c r="A9" t="s">
        <v>183</v>
      </c>
      <c r="C9" s="6">
        <v>3596387</v>
      </c>
      <c r="D9" s="6">
        <v>11804375</v>
      </c>
      <c r="E9" s="6">
        <v>1171787</v>
      </c>
      <c r="F9" s="6">
        <v>191946</v>
      </c>
      <c r="G9" s="6">
        <v>485324</v>
      </c>
      <c r="H9" s="6">
        <v>33379</v>
      </c>
      <c r="I9" s="6"/>
      <c r="J9" s="6">
        <v>17283198</v>
      </c>
    </row>
    <row r="10" spans="1:13" x14ac:dyDescent="0.3">
      <c r="A10" t="s">
        <v>184</v>
      </c>
      <c r="C10" s="6">
        <v>-944265</v>
      </c>
      <c r="D10" s="6">
        <v>-7479708</v>
      </c>
      <c r="E10" s="6">
        <v>-765437</v>
      </c>
      <c r="F10" s="6">
        <v>-171952</v>
      </c>
      <c r="G10" s="6">
        <v>-361930</v>
      </c>
      <c r="H10" s="6">
        <v>-25726</v>
      </c>
      <c r="I10" s="6"/>
      <c r="J10" s="6">
        <v>-9749018</v>
      </c>
    </row>
    <row r="11" spans="1:13" x14ac:dyDescent="0.3">
      <c r="A11" t="s">
        <v>185</v>
      </c>
      <c r="C11" s="6">
        <v>2652122</v>
      </c>
      <c r="D11" s="6">
        <v>4324667</v>
      </c>
      <c r="E11" s="6">
        <v>406350</v>
      </c>
      <c r="F11" s="6">
        <v>19994</v>
      </c>
      <c r="G11" s="6">
        <v>123394</v>
      </c>
      <c r="H11" s="6">
        <v>7653</v>
      </c>
      <c r="I11" s="6"/>
      <c r="J11" s="6">
        <v>7534180</v>
      </c>
    </row>
    <row r="12" spans="1:13" x14ac:dyDescent="0.3">
      <c r="A12" s="94" t="s">
        <v>236</v>
      </c>
      <c r="B12" s="94"/>
      <c r="C12" s="95"/>
      <c r="D12" s="99"/>
      <c r="E12" s="99"/>
      <c r="F12" s="105"/>
      <c r="G12" s="98"/>
      <c r="H12" s="117"/>
      <c r="I12" s="95"/>
      <c r="J12" s="95"/>
      <c r="K12" s="94"/>
      <c r="L12" s="94"/>
      <c r="M12" s="94"/>
    </row>
    <row r="13" spans="1:13" x14ac:dyDescent="0.3">
      <c r="A13" s="94" t="s">
        <v>187</v>
      </c>
      <c r="B13" s="94"/>
      <c r="C13" s="95">
        <v>2652122</v>
      </c>
      <c r="D13" s="99">
        <v>4324667</v>
      </c>
      <c r="E13" s="99">
        <v>406350</v>
      </c>
      <c r="F13" s="103">
        <v>19994</v>
      </c>
      <c r="G13" s="98">
        <v>123394</v>
      </c>
      <c r="H13" s="117">
        <v>7653</v>
      </c>
      <c r="I13" s="95"/>
      <c r="J13" s="95">
        <v>7534180</v>
      </c>
      <c r="K13" s="94"/>
      <c r="L13" s="94"/>
      <c r="M13" s="94"/>
    </row>
    <row r="14" spans="1:13" x14ac:dyDescent="0.3">
      <c r="A14" s="94" t="s">
        <v>237</v>
      </c>
      <c r="B14" s="94"/>
      <c r="C14" s="95">
        <v>53835</v>
      </c>
      <c r="D14" s="99">
        <v>795311</v>
      </c>
      <c r="E14" s="99">
        <v>133883</v>
      </c>
      <c r="F14" s="103">
        <v>5739</v>
      </c>
      <c r="G14" s="98">
        <v>133089</v>
      </c>
      <c r="H14" s="117" t="s">
        <v>82</v>
      </c>
      <c r="I14" s="95"/>
      <c r="J14" s="95">
        <v>1121857</v>
      </c>
      <c r="K14" s="94"/>
      <c r="L14" s="94"/>
      <c r="M14" s="94"/>
    </row>
    <row r="15" spans="1:13" x14ac:dyDescent="0.3">
      <c r="A15" s="94" t="s">
        <v>238</v>
      </c>
      <c r="B15" s="94"/>
      <c r="C15" s="95" t="s">
        <v>82</v>
      </c>
      <c r="D15" s="99">
        <v>-106180</v>
      </c>
      <c r="E15" s="99">
        <v>-5711</v>
      </c>
      <c r="F15" s="103">
        <v>-259</v>
      </c>
      <c r="G15" s="98">
        <v>-37516</v>
      </c>
      <c r="H15" s="117">
        <v>-21479</v>
      </c>
      <c r="I15" s="95"/>
      <c r="J15" s="95">
        <v>-171145</v>
      </c>
      <c r="K15" s="94"/>
      <c r="L15" s="94"/>
      <c r="M15" s="94"/>
    </row>
    <row r="16" spans="1:13" x14ac:dyDescent="0.3">
      <c r="A16" s="94"/>
      <c r="B16" s="94" t="s">
        <v>239</v>
      </c>
      <c r="C16" s="95" t="s">
        <v>82</v>
      </c>
      <c r="D16" s="99">
        <v>102946</v>
      </c>
      <c r="E16" s="99">
        <v>6082</v>
      </c>
      <c r="F16" s="103">
        <v>-14</v>
      </c>
      <c r="G16" s="98">
        <v>37547</v>
      </c>
      <c r="H16" s="117">
        <v>21479</v>
      </c>
      <c r="I16" s="95"/>
      <c r="J16" s="95">
        <v>168040</v>
      </c>
      <c r="K16" s="94"/>
      <c r="L16" s="94"/>
      <c r="M16" s="94"/>
    </row>
    <row r="17" spans="1:13" x14ac:dyDescent="0.3">
      <c r="A17" s="94" t="s">
        <v>240</v>
      </c>
      <c r="B17" s="94"/>
      <c r="C17" s="95" t="s">
        <v>82</v>
      </c>
      <c r="D17" s="99" t="s">
        <v>82</v>
      </c>
      <c r="E17" s="99" t="s">
        <v>82</v>
      </c>
      <c r="F17" s="103" t="s">
        <v>82</v>
      </c>
      <c r="G17" s="98">
        <v>-1917</v>
      </c>
      <c r="H17" s="117" t="s">
        <v>82</v>
      </c>
      <c r="I17" s="95"/>
      <c r="J17" s="95">
        <v>-1917</v>
      </c>
      <c r="K17" s="94"/>
      <c r="L17" s="94"/>
      <c r="M17" s="94"/>
    </row>
    <row r="18" spans="1:13" x14ac:dyDescent="0.3">
      <c r="A18" s="94"/>
      <c r="B18" s="94" t="s">
        <v>239</v>
      </c>
      <c r="C18" s="95" t="s">
        <v>82</v>
      </c>
      <c r="D18" s="99" t="s">
        <v>82</v>
      </c>
      <c r="E18" s="99" t="s">
        <v>82</v>
      </c>
      <c r="F18" s="103" t="s">
        <v>82</v>
      </c>
      <c r="G18" s="98">
        <v>1881</v>
      </c>
      <c r="H18" s="117" t="s">
        <v>82</v>
      </c>
      <c r="I18" s="95"/>
      <c r="J18" s="95">
        <v>1881</v>
      </c>
      <c r="K18" s="94"/>
      <c r="L18" s="94"/>
      <c r="M18" s="94"/>
    </row>
    <row r="19" spans="1:13" x14ac:dyDescent="0.3">
      <c r="A19" s="94" t="s">
        <v>241</v>
      </c>
      <c r="B19" s="94"/>
      <c r="C19" s="95">
        <v>348104</v>
      </c>
      <c r="D19" s="99">
        <v>568511</v>
      </c>
      <c r="E19" s="99">
        <v>56521</v>
      </c>
      <c r="F19" s="103">
        <v>2511</v>
      </c>
      <c r="G19" s="98">
        <v>19802</v>
      </c>
      <c r="H19" s="117">
        <v>861</v>
      </c>
      <c r="I19" s="95"/>
      <c r="J19" s="95">
        <v>996310</v>
      </c>
      <c r="K19" s="94"/>
      <c r="L19" s="94"/>
      <c r="M19" s="94"/>
    </row>
    <row r="20" spans="1:13" x14ac:dyDescent="0.3">
      <c r="A20" s="94" t="s">
        <v>195</v>
      </c>
      <c r="B20" s="94"/>
      <c r="C20" s="95">
        <v>-150096</v>
      </c>
      <c r="D20" s="99">
        <v>-931139</v>
      </c>
      <c r="E20" s="99">
        <v>-84026</v>
      </c>
      <c r="F20" s="103">
        <v>-8498</v>
      </c>
      <c r="G20" s="98">
        <v>-64006</v>
      </c>
      <c r="H20" s="117">
        <v>-3206</v>
      </c>
      <c r="I20" s="95"/>
      <c r="J20" s="95">
        <v>-1240971</v>
      </c>
      <c r="K20" s="94"/>
      <c r="L20" s="94"/>
      <c r="M20" s="94"/>
    </row>
    <row r="21" spans="1:13" x14ac:dyDescent="0.3">
      <c r="A21" s="94" t="s">
        <v>196</v>
      </c>
      <c r="B21" s="94"/>
      <c r="C21" s="95">
        <v>2903965</v>
      </c>
      <c r="D21" s="99">
        <v>4754116</v>
      </c>
      <c r="E21" s="99">
        <v>513099</v>
      </c>
      <c r="F21" s="103">
        <v>19473</v>
      </c>
      <c r="G21" s="98">
        <v>212274</v>
      </c>
      <c r="H21" s="117">
        <v>5308</v>
      </c>
      <c r="I21" s="95"/>
      <c r="J21" s="95">
        <v>8408235</v>
      </c>
      <c r="K21" s="94"/>
      <c r="L21" s="94"/>
      <c r="M21" s="94"/>
    </row>
    <row r="22" spans="1:13" x14ac:dyDescent="0.3">
      <c r="A22" s="94" t="s">
        <v>242</v>
      </c>
      <c r="B22" s="94"/>
      <c r="C22" s="95"/>
      <c r="D22" s="99"/>
      <c r="E22" s="99"/>
      <c r="F22" s="103"/>
      <c r="G22" s="98"/>
      <c r="H22" s="117"/>
      <c r="I22" s="95"/>
      <c r="J22" s="95"/>
      <c r="K22" s="94"/>
      <c r="L22" s="94"/>
      <c r="M22" s="94"/>
    </row>
    <row r="23" spans="1:13" x14ac:dyDescent="0.3">
      <c r="A23" s="94" t="s">
        <v>183</v>
      </c>
      <c r="B23" s="94"/>
      <c r="C23" s="95">
        <v>4131304</v>
      </c>
      <c r="D23" s="99">
        <v>14097677</v>
      </c>
      <c r="E23" s="99">
        <v>1462130</v>
      </c>
      <c r="F23" s="103">
        <v>223230</v>
      </c>
      <c r="G23" s="98">
        <v>648135</v>
      </c>
      <c r="H23" s="117">
        <v>15287</v>
      </c>
      <c r="I23" s="95"/>
      <c r="J23" s="95">
        <v>20577763</v>
      </c>
      <c r="K23" s="94"/>
      <c r="L23" s="94"/>
      <c r="M23" s="94"/>
    </row>
    <row r="24" spans="1:13" x14ac:dyDescent="0.3">
      <c r="A24" s="94" t="s">
        <v>184</v>
      </c>
      <c r="B24" s="94"/>
      <c r="C24" s="95">
        <v>-1227339</v>
      </c>
      <c r="D24" s="99">
        <v>-9343561</v>
      </c>
      <c r="E24" s="99">
        <v>-949031</v>
      </c>
      <c r="F24" s="103">
        <v>-203757</v>
      </c>
      <c r="G24" s="98">
        <v>-435861</v>
      </c>
      <c r="H24" s="117">
        <v>-9979</v>
      </c>
      <c r="I24" s="95"/>
      <c r="J24" s="95">
        <v>-12169528</v>
      </c>
      <c r="K24" s="94"/>
      <c r="L24" s="94"/>
      <c r="M24" s="94"/>
    </row>
    <row r="25" spans="1:13" x14ac:dyDescent="0.3">
      <c r="A25" s="94" t="s">
        <v>185</v>
      </c>
      <c r="B25" s="94"/>
      <c r="C25" s="95">
        <v>2903965</v>
      </c>
      <c r="D25" s="99">
        <v>4754116</v>
      </c>
      <c r="E25" s="99">
        <v>513099</v>
      </c>
      <c r="F25" s="103">
        <v>19473</v>
      </c>
      <c r="G25" s="98">
        <v>212274</v>
      </c>
      <c r="H25" s="117">
        <v>5308</v>
      </c>
      <c r="I25" s="95"/>
      <c r="J25" s="95">
        <v>8408235</v>
      </c>
      <c r="K25" s="94"/>
      <c r="L25" s="94"/>
      <c r="M25" s="94"/>
    </row>
    <row r="26" spans="1:13" x14ac:dyDescent="0.3">
      <c r="A26" s="93" t="s">
        <v>243</v>
      </c>
      <c r="C26" s="6"/>
      <c r="D26" s="72"/>
      <c r="E26" s="72"/>
      <c r="F26" s="106"/>
      <c r="G26" s="98"/>
      <c r="H26" s="117"/>
      <c r="I26" s="6"/>
      <c r="J26" s="6"/>
    </row>
    <row r="27" spans="1:13" x14ac:dyDescent="0.3">
      <c r="A27" s="93" t="s">
        <v>187</v>
      </c>
      <c r="C27" s="6">
        <v>2903965</v>
      </c>
      <c r="D27" s="100">
        <v>4754116</v>
      </c>
      <c r="E27" s="72">
        <v>513099</v>
      </c>
      <c r="F27" s="106">
        <v>19473</v>
      </c>
      <c r="G27" s="98">
        <v>212274</v>
      </c>
      <c r="H27" s="117">
        <v>5308</v>
      </c>
      <c r="I27" s="6"/>
      <c r="J27" s="6">
        <v>8408235</v>
      </c>
    </row>
    <row r="28" spans="1:13" x14ac:dyDescent="0.3">
      <c r="A28" s="93" t="s">
        <v>237</v>
      </c>
      <c r="C28" s="6">
        <v>13565</v>
      </c>
      <c r="D28" s="100">
        <v>772263</v>
      </c>
      <c r="E28" s="72">
        <v>141728</v>
      </c>
      <c r="F28" s="106">
        <v>2270</v>
      </c>
      <c r="G28" s="98">
        <v>52849</v>
      </c>
      <c r="H28" s="117">
        <v>25213</v>
      </c>
      <c r="I28" s="6"/>
      <c r="J28" s="6">
        <v>1007888</v>
      </c>
    </row>
    <row r="29" spans="1:13" x14ac:dyDescent="0.3">
      <c r="A29" s="93" t="s">
        <v>238</v>
      </c>
      <c r="C29" s="6" t="s">
        <v>82</v>
      </c>
      <c r="D29" s="100">
        <v>-187033</v>
      </c>
      <c r="E29" s="72">
        <v>-22441</v>
      </c>
      <c r="F29" s="106" t="s">
        <v>82</v>
      </c>
      <c r="G29" s="98">
        <v>-486</v>
      </c>
      <c r="H29" s="117" t="s">
        <v>82</v>
      </c>
      <c r="I29" s="6"/>
      <c r="J29" s="6">
        <v>-209960</v>
      </c>
    </row>
    <row r="30" spans="1:13" x14ac:dyDescent="0.3">
      <c r="A30" s="93"/>
      <c r="B30" t="s">
        <v>239</v>
      </c>
      <c r="C30" s="6" t="s">
        <v>82</v>
      </c>
      <c r="D30" s="100">
        <v>162891</v>
      </c>
      <c r="E30" s="72">
        <v>22100</v>
      </c>
      <c r="F30" s="106" t="s">
        <v>82</v>
      </c>
      <c r="G30" s="98">
        <v>260</v>
      </c>
      <c r="H30" s="117" t="s">
        <v>82</v>
      </c>
      <c r="I30" s="6"/>
      <c r="J30" s="6">
        <v>185251</v>
      </c>
    </row>
    <row r="31" spans="1:13" x14ac:dyDescent="0.3">
      <c r="A31" s="93" t="s">
        <v>241</v>
      </c>
      <c r="C31" s="6">
        <v>211406</v>
      </c>
      <c r="D31" s="100">
        <v>353342</v>
      </c>
      <c r="E31" s="72">
        <v>40809</v>
      </c>
      <c r="F31" s="106">
        <v>1211</v>
      </c>
      <c r="G31" s="98">
        <v>13974</v>
      </c>
      <c r="H31" s="117">
        <v>1602</v>
      </c>
      <c r="I31" s="6"/>
      <c r="J31" s="6">
        <v>622344</v>
      </c>
    </row>
    <row r="32" spans="1:13" x14ac:dyDescent="0.3">
      <c r="A32" s="93" t="s">
        <v>195</v>
      </c>
      <c r="C32" s="6">
        <v>-163131</v>
      </c>
      <c r="D32" s="100">
        <v>-865671</v>
      </c>
      <c r="E32" s="72">
        <v>-107115</v>
      </c>
      <c r="F32" s="106">
        <v>-6909</v>
      </c>
      <c r="G32" s="98">
        <v>-89561</v>
      </c>
      <c r="H32" s="117">
        <v>-4120</v>
      </c>
      <c r="I32" s="6"/>
      <c r="J32" s="6">
        <v>-1236507</v>
      </c>
    </row>
    <row r="33" spans="1:10" x14ac:dyDescent="0.3">
      <c r="A33" s="93" t="s">
        <v>196</v>
      </c>
      <c r="C33" s="6">
        <v>2965805</v>
      </c>
      <c r="D33" s="100">
        <v>4989908</v>
      </c>
      <c r="E33" s="72">
        <v>588180</v>
      </c>
      <c r="F33" s="106">
        <v>16045</v>
      </c>
      <c r="G33" s="98">
        <v>189310</v>
      </c>
      <c r="H33" s="117">
        <v>28003</v>
      </c>
      <c r="I33" s="6"/>
      <c r="J33" s="6">
        <v>8777251</v>
      </c>
    </row>
    <row r="34" spans="1:10" x14ac:dyDescent="0.3">
      <c r="A34" s="93" t="s">
        <v>182</v>
      </c>
      <c r="C34" s="6"/>
      <c r="D34" s="100"/>
      <c r="E34" s="72"/>
      <c r="F34" s="106"/>
      <c r="G34" s="98"/>
      <c r="H34" s="117"/>
      <c r="I34" s="6"/>
      <c r="J34" s="6"/>
    </row>
    <row r="35" spans="1:10" x14ac:dyDescent="0.3">
      <c r="A35" s="93" t="s">
        <v>183</v>
      </c>
      <c r="C35" s="6">
        <v>4458507</v>
      </c>
      <c r="D35" s="100">
        <v>15783844</v>
      </c>
      <c r="E35" s="72">
        <v>1698934</v>
      </c>
      <c r="F35" s="106">
        <v>242535</v>
      </c>
      <c r="G35" s="98">
        <v>752563</v>
      </c>
      <c r="H35" s="117">
        <v>43093</v>
      </c>
      <c r="I35" s="6"/>
      <c r="J35" s="6">
        <v>22979476</v>
      </c>
    </row>
    <row r="36" spans="1:10" x14ac:dyDescent="0.3">
      <c r="A36" s="93" t="s">
        <v>184</v>
      </c>
      <c r="C36" s="6">
        <v>-1492702</v>
      </c>
      <c r="D36" s="100">
        <v>-10793936</v>
      </c>
      <c r="E36" s="72">
        <v>-1110754</v>
      </c>
      <c r="F36" s="106">
        <v>-226490</v>
      </c>
      <c r="G36" s="98">
        <v>-563253</v>
      </c>
      <c r="H36" s="117">
        <v>-15090</v>
      </c>
      <c r="I36" s="6"/>
      <c r="J36" s="6">
        <v>-14202225</v>
      </c>
    </row>
    <row r="37" spans="1:10" x14ac:dyDescent="0.3">
      <c r="A37" s="93" t="s">
        <v>185</v>
      </c>
      <c r="C37" s="6">
        <v>2965805</v>
      </c>
      <c r="D37" s="100">
        <v>4989908</v>
      </c>
      <c r="E37" s="72">
        <v>588180</v>
      </c>
      <c r="F37" s="107">
        <v>16045</v>
      </c>
      <c r="G37" s="98">
        <v>189310</v>
      </c>
      <c r="H37" s="117">
        <v>28003</v>
      </c>
      <c r="I37" s="6"/>
      <c r="J37" s="6">
        <v>8777251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40"/>
  <sheetViews>
    <sheetView workbookViewId="0">
      <selection activeCell="K28" sqref="K28"/>
    </sheetView>
  </sheetViews>
  <sheetFormatPr defaultRowHeight="14.4" x14ac:dyDescent="0.3"/>
  <cols>
    <col min="1" max="1" width="11.109375" bestFit="1" customWidth="1"/>
    <col min="2" max="2" width="32.88671875" bestFit="1" customWidth="1"/>
    <col min="3" max="3" width="8" customWidth="1"/>
    <col min="4" max="4" width="7.109375" customWidth="1"/>
    <col min="5" max="5" width="8.44140625" customWidth="1"/>
    <col min="6" max="7" width="7.5546875" customWidth="1"/>
    <col min="8" max="8" width="20.5546875" customWidth="1"/>
    <col min="9" max="9" width="15" bestFit="1" customWidth="1"/>
  </cols>
  <sheetData>
    <row r="1" spans="2:9" x14ac:dyDescent="0.3">
      <c r="B1" t="s">
        <v>219</v>
      </c>
      <c r="C1" t="s">
        <v>220</v>
      </c>
      <c r="D1" t="s">
        <v>221</v>
      </c>
      <c r="E1" t="s">
        <v>222</v>
      </c>
      <c r="F1" t="s">
        <v>223</v>
      </c>
      <c r="G1" t="s">
        <v>224</v>
      </c>
      <c r="H1" t="s">
        <v>225</v>
      </c>
      <c r="I1" t="s">
        <v>181</v>
      </c>
    </row>
    <row r="2" spans="2:9" x14ac:dyDescent="0.3">
      <c r="C2" t="s">
        <v>226</v>
      </c>
      <c r="D2" t="s">
        <v>227</v>
      </c>
      <c r="E2" t="s">
        <v>228</v>
      </c>
      <c r="F2" t="s">
        <v>229</v>
      </c>
      <c r="G2" t="s">
        <v>230</v>
      </c>
      <c r="H2" t="s">
        <v>231</v>
      </c>
    </row>
    <row r="3" spans="2:9" x14ac:dyDescent="0.3">
      <c r="C3" t="s">
        <v>232</v>
      </c>
      <c r="D3" t="s">
        <v>229</v>
      </c>
      <c r="E3" t="s">
        <v>233</v>
      </c>
      <c r="G3" t="s">
        <v>229</v>
      </c>
    </row>
    <row r="4" spans="2:9" x14ac:dyDescent="0.3">
      <c r="D4" t="s">
        <v>234</v>
      </c>
      <c r="E4" t="s">
        <v>229</v>
      </c>
    </row>
    <row r="5" spans="2:9" x14ac:dyDescent="0.3">
      <c r="B5" t="s">
        <v>182</v>
      </c>
    </row>
    <row r="6" spans="2:9" x14ac:dyDescent="0.3">
      <c r="B6" t="s">
        <v>183</v>
      </c>
      <c r="C6" s="6">
        <v>4458507</v>
      </c>
      <c r="D6" s="6">
        <v>15783844</v>
      </c>
      <c r="E6" s="6">
        <v>1698934</v>
      </c>
      <c r="F6" s="6">
        <v>242535</v>
      </c>
      <c r="G6" s="6">
        <v>752563</v>
      </c>
      <c r="H6" s="6">
        <v>43093</v>
      </c>
      <c r="I6" s="6">
        <v>22979476</v>
      </c>
    </row>
    <row r="7" spans="2:9" x14ac:dyDescent="0.3">
      <c r="B7" t="s">
        <v>184</v>
      </c>
      <c r="C7" s="6">
        <v>-1492702</v>
      </c>
      <c r="D7" s="6">
        <v>-10793936</v>
      </c>
      <c r="E7" s="6">
        <v>-1110754</v>
      </c>
      <c r="F7" s="6">
        <v>-226490</v>
      </c>
      <c r="G7" s="6">
        <v>-563253</v>
      </c>
      <c r="H7" s="6">
        <v>-15090</v>
      </c>
      <c r="I7" s="6">
        <v>-14202225</v>
      </c>
    </row>
    <row r="8" spans="2:9" x14ac:dyDescent="0.3">
      <c r="B8" t="s">
        <v>185</v>
      </c>
      <c r="C8" s="6">
        <v>2965805</v>
      </c>
      <c r="D8" s="6">
        <v>4989908</v>
      </c>
      <c r="E8" s="108">
        <v>588180</v>
      </c>
      <c r="F8" s="6">
        <v>16045</v>
      </c>
      <c r="G8" s="6">
        <v>189310</v>
      </c>
      <c r="H8" s="6">
        <v>28003</v>
      </c>
      <c r="I8" s="6">
        <v>8777251</v>
      </c>
    </row>
    <row r="9" spans="2:9" x14ac:dyDescent="0.3">
      <c r="B9" s="93" t="s">
        <v>186</v>
      </c>
      <c r="C9" s="92"/>
      <c r="D9" s="92"/>
      <c r="E9" s="109"/>
      <c r="F9" s="101"/>
      <c r="G9" s="98"/>
      <c r="H9" s="117"/>
      <c r="I9" s="92"/>
    </row>
    <row r="10" spans="2:9" x14ac:dyDescent="0.3">
      <c r="B10" s="93" t="s">
        <v>187</v>
      </c>
      <c r="C10" s="92">
        <v>2965805</v>
      </c>
      <c r="D10" s="92">
        <v>4989908</v>
      </c>
      <c r="E10" s="109">
        <v>588180</v>
      </c>
      <c r="F10" s="102">
        <v>16045</v>
      </c>
      <c r="G10" s="98">
        <v>189310</v>
      </c>
      <c r="H10" s="117">
        <v>28003</v>
      </c>
      <c r="I10" s="92">
        <v>8777251</v>
      </c>
    </row>
    <row r="11" spans="2:9" x14ac:dyDescent="0.3">
      <c r="B11" s="93" t="s">
        <v>188</v>
      </c>
      <c r="C11" s="92"/>
      <c r="D11" s="92"/>
      <c r="E11" s="109"/>
      <c r="F11" s="102"/>
      <c r="G11" s="98"/>
      <c r="H11" s="117"/>
      <c r="I11" s="92"/>
    </row>
    <row r="12" spans="2:9" x14ac:dyDescent="0.3">
      <c r="B12" s="93" t="s">
        <v>189</v>
      </c>
      <c r="C12" s="92">
        <v>10026</v>
      </c>
      <c r="D12" s="92">
        <v>547106</v>
      </c>
      <c r="E12" s="109">
        <v>185569</v>
      </c>
      <c r="F12" s="102">
        <v>3186</v>
      </c>
      <c r="G12" s="98">
        <v>66191</v>
      </c>
      <c r="H12" s="117" t="s">
        <v>82</v>
      </c>
      <c r="I12" s="92">
        <v>812078</v>
      </c>
    </row>
    <row r="13" spans="2:9" x14ac:dyDescent="0.3">
      <c r="B13" s="93" t="s">
        <v>190</v>
      </c>
      <c r="C13" s="92" t="s">
        <v>82</v>
      </c>
      <c r="D13" s="92">
        <v>-74881</v>
      </c>
      <c r="E13" s="109" t="s">
        <v>82</v>
      </c>
      <c r="F13" s="102" t="s">
        <v>82</v>
      </c>
      <c r="G13" s="98">
        <v>-5299</v>
      </c>
      <c r="H13" s="117" t="s">
        <v>82</v>
      </c>
      <c r="I13" s="92">
        <v>-80180</v>
      </c>
    </row>
    <row r="14" spans="2:9" x14ac:dyDescent="0.3">
      <c r="B14" s="93" t="s">
        <v>191</v>
      </c>
      <c r="C14" s="92"/>
      <c r="D14" s="92"/>
      <c r="E14" s="109"/>
      <c r="F14" s="102"/>
      <c r="G14" s="98"/>
      <c r="H14" s="117"/>
      <c r="I14" s="92"/>
    </row>
    <row r="15" spans="2:9" x14ac:dyDescent="0.3">
      <c r="B15" s="93" t="s">
        <v>192</v>
      </c>
      <c r="C15" s="92" t="s">
        <v>82</v>
      </c>
      <c r="D15" s="92">
        <v>74881</v>
      </c>
      <c r="E15" s="109" t="s">
        <v>82</v>
      </c>
      <c r="F15" s="102" t="s">
        <v>82</v>
      </c>
      <c r="G15" s="98">
        <v>3020</v>
      </c>
      <c r="H15" s="117" t="s">
        <v>82</v>
      </c>
      <c r="I15" s="92">
        <v>77901</v>
      </c>
    </row>
    <row r="16" spans="2:9" x14ac:dyDescent="0.3">
      <c r="B16" s="93" t="s">
        <v>193</v>
      </c>
      <c r="C16" s="92"/>
      <c r="D16" s="92"/>
      <c r="E16" s="109"/>
      <c r="F16" s="102"/>
      <c r="G16" s="98"/>
      <c r="H16" s="117"/>
      <c r="I16" s="92"/>
    </row>
    <row r="17" spans="2:9" x14ac:dyDescent="0.3">
      <c r="B17" s="93" t="s">
        <v>194</v>
      </c>
      <c r="C17" s="92">
        <v>147079</v>
      </c>
      <c r="D17" s="92">
        <v>254419</v>
      </c>
      <c r="E17" s="109">
        <v>35827</v>
      </c>
      <c r="F17" s="102">
        <v>732</v>
      </c>
      <c r="G17" s="98">
        <v>8474</v>
      </c>
      <c r="H17" s="117">
        <v>952</v>
      </c>
      <c r="I17" s="92">
        <v>447483</v>
      </c>
    </row>
    <row r="18" spans="2:9" x14ac:dyDescent="0.3">
      <c r="B18" s="93" t="s">
        <v>195</v>
      </c>
      <c r="C18" s="92">
        <v>-247599</v>
      </c>
      <c r="D18" s="92">
        <v>-838914</v>
      </c>
      <c r="E18" s="109">
        <v>-129503</v>
      </c>
      <c r="F18" s="102">
        <v>-5445</v>
      </c>
      <c r="G18" s="98">
        <v>-93227</v>
      </c>
      <c r="H18" s="117">
        <v>-9027</v>
      </c>
      <c r="I18" s="92">
        <v>-1323715</v>
      </c>
    </row>
    <row r="19" spans="2:9" x14ac:dyDescent="0.3">
      <c r="B19" s="93" t="s">
        <v>196</v>
      </c>
      <c r="C19" s="92">
        <v>2875311</v>
      </c>
      <c r="D19" s="92">
        <v>4952520</v>
      </c>
      <c r="E19" s="109">
        <v>680073</v>
      </c>
      <c r="F19" s="102">
        <v>14517</v>
      </c>
      <c r="G19" s="98">
        <v>168469</v>
      </c>
      <c r="H19" s="117">
        <v>19928</v>
      </c>
      <c r="I19" s="92">
        <v>8710818</v>
      </c>
    </row>
    <row r="20" spans="2:9" x14ac:dyDescent="0.3">
      <c r="B20" s="93" t="s">
        <v>197</v>
      </c>
      <c r="C20" s="92"/>
      <c r="D20" s="92"/>
      <c r="E20" s="109"/>
      <c r="F20" s="102"/>
      <c r="G20" s="98"/>
      <c r="H20" s="117"/>
      <c r="I20" s="92"/>
    </row>
    <row r="21" spans="2:9" x14ac:dyDescent="0.3">
      <c r="B21" s="93" t="s">
        <v>183</v>
      </c>
      <c r="C21" s="92">
        <v>4713332</v>
      </c>
      <c r="D21" s="92">
        <v>17150880</v>
      </c>
      <c r="E21" s="109">
        <v>1989514</v>
      </c>
      <c r="F21" s="102">
        <v>259207</v>
      </c>
      <c r="G21" s="98">
        <v>858594</v>
      </c>
      <c r="H21" s="117">
        <v>45453</v>
      </c>
      <c r="I21" s="92">
        <v>25016980</v>
      </c>
    </row>
    <row r="22" spans="2:9" x14ac:dyDescent="0.3">
      <c r="B22" s="93" t="s">
        <v>184</v>
      </c>
      <c r="C22" s="92">
        <v>-1838021</v>
      </c>
      <c r="D22" s="92">
        <v>-12198360</v>
      </c>
      <c r="E22" s="109">
        <v>-1309441</v>
      </c>
      <c r="F22" s="102">
        <v>-244690</v>
      </c>
      <c r="G22" s="98">
        <v>-690125</v>
      </c>
      <c r="H22" s="117">
        <v>-25525</v>
      </c>
      <c r="I22" s="92">
        <v>-16306162</v>
      </c>
    </row>
    <row r="23" spans="2:9" x14ac:dyDescent="0.3">
      <c r="B23" s="93" t="s">
        <v>185</v>
      </c>
      <c r="C23" s="92">
        <v>2875311</v>
      </c>
      <c r="D23" s="92">
        <v>4952520</v>
      </c>
      <c r="E23" s="109">
        <v>680073</v>
      </c>
      <c r="F23" s="102">
        <v>14517</v>
      </c>
      <c r="G23" s="98">
        <v>168469</v>
      </c>
      <c r="H23" s="117">
        <v>19928</v>
      </c>
      <c r="I23" s="92">
        <v>8710818</v>
      </c>
    </row>
    <row r="24" spans="2:9" x14ac:dyDescent="0.3">
      <c r="B24" s="94" t="s">
        <v>198</v>
      </c>
      <c r="C24" s="95"/>
      <c r="D24" s="95"/>
      <c r="E24" s="110"/>
      <c r="F24" s="103"/>
      <c r="G24" s="98"/>
      <c r="H24" s="117"/>
      <c r="I24" s="95"/>
    </row>
    <row r="25" spans="2:9" x14ac:dyDescent="0.3">
      <c r="B25" s="94" t="s">
        <v>187</v>
      </c>
      <c r="C25" s="95">
        <v>2875311</v>
      </c>
      <c r="D25" s="95">
        <v>4952520</v>
      </c>
      <c r="E25" s="110">
        <v>680073</v>
      </c>
      <c r="F25" s="103">
        <v>14517</v>
      </c>
      <c r="G25" s="98">
        <v>168469</v>
      </c>
      <c r="H25" s="117">
        <v>19928</v>
      </c>
      <c r="I25" s="95">
        <v>8710818</v>
      </c>
    </row>
    <row r="26" spans="2:9" x14ac:dyDescent="0.3">
      <c r="B26" s="94" t="s">
        <v>188</v>
      </c>
      <c r="C26" s="95"/>
      <c r="D26" s="95"/>
      <c r="E26" s="110"/>
      <c r="F26" s="103"/>
      <c r="G26" s="98"/>
      <c r="H26" s="117"/>
      <c r="I26" s="95"/>
    </row>
    <row r="27" spans="2:9" x14ac:dyDescent="0.3">
      <c r="B27" s="94" t="s">
        <v>189</v>
      </c>
      <c r="C27" s="95">
        <v>1321491</v>
      </c>
      <c r="D27" s="95">
        <v>1033651</v>
      </c>
      <c r="E27" s="110">
        <v>340050</v>
      </c>
      <c r="F27" s="103">
        <v>3844</v>
      </c>
      <c r="G27" s="98">
        <v>50758</v>
      </c>
      <c r="H27" s="117" t="s">
        <v>82</v>
      </c>
      <c r="I27" s="95">
        <v>2749794</v>
      </c>
    </row>
    <row r="28" spans="2:9" x14ac:dyDescent="0.3">
      <c r="B28" s="94" t="s">
        <v>238</v>
      </c>
      <c r="C28" s="95">
        <v>-37195</v>
      </c>
      <c r="D28" s="95">
        <v>-23519</v>
      </c>
      <c r="E28" s="110" t="s">
        <v>82</v>
      </c>
      <c r="F28" s="103" t="s">
        <v>82</v>
      </c>
      <c r="G28" s="98" t="s">
        <v>82</v>
      </c>
      <c r="H28" s="117" t="s">
        <v>82</v>
      </c>
      <c r="I28" s="95">
        <v>-60714</v>
      </c>
    </row>
    <row r="29" spans="2:9" x14ac:dyDescent="0.3">
      <c r="B29" s="94" t="s">
        <v>191</v>
      </c>
      <c r="C29" s="95"/>
      <c r="D29" s="95"/>
      <c r="E29" s="110"/>
      <c r="F29" s="103"/>
      <c r="G29" s="98"/>
      <c r="H29" s="117"/>
      <c r="I29" s="95"/>
    </row>
    <row r="30" spans="2:9" x14ac:dyDescent="0.3">
      <c r="B30" s="94" t="s">
        <v>192</v>
      </c>
      <c r="C30" s="95">
        <v>37195</v>
      </c>
      <c r="D30" s="95">
        <v>23519</v>
      </c>
      <c r="E30" s="110" t="s">
        <v>82</v>
      </c>
      <c r="F30" s="103" t="s">
        <v>82</v>
      </c>
      <c r="G30" s="98" t="s">
        <v>82</v>
      </c>
      <c r="H30" s="117" t="s">
        <v>82</v>
      </c>
      <c r="I30" s="95">
        <v>60714</v>
      </c>
    </row>
    <row r="31" spans="2:9" x14ac:dyDescent="0.3">
      <c r="B31" s="94" t="s">
        <v>193</v>
      </c>
      <c r="C31" s="95"/>
      <c r="D31" s="95"/>
      <c r="E31" s="110"/>
      <c r="F31" s="103"/>
      <c r="G31" s="98"/>
      <c r="H31" s="117"/>
      <c r="I31" s="95"/>
    </row>
    <row r="32" spans="2:9" x14ac:dyDescent="0.3">
      <c r="B32" s="94" t="s">
        <v>194</v>
      </c>
      <c r="C32" s="95">
        <v>1833685</v>
      </c>
      <c r="D32" s="95">
        <v>2341246</v>
      </c>
      <c r="E32" s="110">
        <v>394959</v>
      </c>
      <c r="F32" s="103">
        <v>5623</v>
      </c>
      <c r="G32" s="98">
        <v>59443</v>
      </c>
      <c r="H32" s="117">
        <v>5965</v>
      </c>
      <c r="I32" s="95">
        <v>4640921</v>
      </c>
    </row>
    <row r="33" spans="2:9" x14ac:dyDescent="0.3">
      <c r="B33" s="94" t="s">
        <v>195</v>
      </c>
      <c r="C33" s="95">
        <v>-212021</v>
      </c>
      <c r="D33" s="95">
        <v>-908113</v>
      </c>
      <c r="E33" s="110">
        <v>-162301</v>
      </c>
      <c r="F33" s="103">
        <v>-6186</v>
      </c>
      <c r="G33" s="98">
        <v>-90622</v>
      </c>
      <c r="H33" s="117">
        <v>-7044</v>
      </c>
      <c r="I33" s="95">
        <v>-1386287</v>
      </c>
    </row>
    <row r="34" spans="2:9" x14ac:dyDescent="0.3">
      <c r="B34" s="94" t="s">
        <v>196</v>
      </c>
      <c r="C34" s="95">
        <v>5818466</v>
      </c>
      <c r="D34" s="95">
        <v>7419304</v>
      </c>
      <c r="E34" s="110">
        <v>1252781</v>
      </c>
      <c r="F34" s="103">
        <v>17798</v>
      </c>
      <c r="G34" s="98">
        <v>188048</v>
      </c>
      <c r="H34" s="117">
        <v>18849</v>
      </c>
      <c r="I34" s="95">
        <v>14715246</v>
      </c>
    </row>
    <row r="35" spans="2:9" x14ac:dyDescent="0.3">
      <c r="B35" s="94" t="s">
        <v>199</v>
      </c>
      <c r="C35" s="95"/>
      <c r="D35" s="95"/>
      <c r="E35" s="110"/>
      <c r="F35" s="103"/>
      <c r="G35" s="98"/>
      <c r="H35" s="117"/>
      <c r="I35" s="95"/>
    </row>
    <row r="36" spans="2:9" x14ac:dyDescent="0.3">
      <c r="B36" s="94" t="s">
        <v>183</v>
      </c>
      <c r="C36" s="95">
        <v>8758907</v>
      </c>
      <c r="D36" s="95">
        <v>26532234</v>
      </c>
      <c r="E36" s="110">
        <v>3402635</v>
      </c>
      <c r="F36" s="103">
        <v>384341</v>
      </c>
      <c r="G36" s="98">
        <v>1328513</v>
      </c>
      <c r="H36" s="117">
        <v>66413</v>
      </c>
      <c r="I36" s="95">
        <v>40473043</v>
      </c>
    </row>
    <row r="37" spans="2:9" x14ac:dyDescent="0.3">
      <c r="B37" s="94" t="s">
        <v>184</v>
      </c>
      <c r="C37" s="95">
        <v>-2940441</v>
      </c>
      <c r="D37" s="95">
        <v>-19112930</v>
      </c>
      <c r="E37" s="110">
        <v>-2149854</v>
      </c>
      <c r="F37" s="103">
        <v>-366543</v>
      </c>
      <c r="G37" s="98">
        <v>-1140465</v>
      </c>
      <c r="H37" s="117">
        <v>-47564</v>
      </c>
      <c r="I37" s="95">
        <v>-25757797</v>
      </c>
    </row>
    <row r="38" spans="2:9" x14ac:dyDescent="0.3">
      <c r="B38" s="94" t="s">
        <v>185</v>
      </c>
      <c r="C38" s="95">
        <v>5818466</v>
      </c>
      <c r="D38" s="95">
        <v>7419304</v>
      </c>
      <c r="E38" s="110">
        <v>1252781</v>
      </c>
      <c r="F38" s="104">
        <v>17798</v>
      </c>
      <c r="G38" s="98">
        <v>188048</v>
      </c>
      <c r="H38" s="117">
        <v>18849</v>
      </c>
      <c r="I38" s="95">
        <v>14715246</v>
      </c>
    </row>
    <row r="39" spans="2:9" x14ac:dyDescent="0.3">
      <c r="G39" s="116"/>
    </row>
    <row r="40" spans="2:9" x14ac:dyDescent="0.3">
      <c r="G40" s="11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96"/>
  <sheetViews>
    <sheetView zoomScale="85" zoomScaleNormal="85" workbookViewId="0">
      <selection activeCell="A379" sqref="A379"/>
    </sheetView>
  </sheetViews>
  <sheetFormatPr defaultRowHeight="14.4" x14ac:dyDescent="0.3"/>
  <cols>
    <col min="1" max="1" width="63.6640625" customWidth="1"/>
    <col min="2" max="2" width="15.33203125" bestFit="1" customWidth="1"/>
    <col min="3" max="3" width="19.109375" bestFit="1" customWidth="1"/>
    <col min="4" max="6" width="14.33203125" bestFit="1" customWidth="1"/>
    <col min="7" max="8" width="14.5546875" customWidth="1"/>
    <col min="9" max="10" width="13.88671875" customWidth="1"/>
    <col min="11" max="13" width="14.33203125" bestFit="1" customWidth="1"/>
    <col min="33" max="33" width="14.33203125" bestFit="1" customWidth="1"/>
  </cols>
  <sheetData>
    <row r="1" spans="1:20" x14ac:dyDescent="0.3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</row>
    <row r="2" spans="1:20" ht="15.6" x14ac:dyDescent="0.3">
      <c r="A2" s="10" t="s">
        <v>74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3"/>
    </row>
    <row r="3" spans="1:20" ht="15.6" x14ac:dyDescent="0.3">
      <c r="A3" s="10" t="s">
        <v>218</v>
      </c>
      <c r="B3" s="10"/>
      <c r="C3" s="10"/>
      <c r="D3" s="10"/>
      <c r="E3" s="10"/>
      <c r="F3" s="10"/>
      <c r="G3" s="10"/>
      <c r="H3" s="10"/>
      <c r="I3" s="10"/>
      <c r="J3" s="10"/>
      <c r="K3" s="10"/>
      <c r="L3" s="13"/>
    </row>
    <row r="4" spans="1:20" x14ac:dyDescent="0.3">
      <c r="F4" s="4">
        <f>+'P&amp;L-SOFP-Ratios'!F35</f>
        <v>1341498</v>
      </c>
      <c r="G4" s="4"/>
      <c r="L4" s="13"/>
      <c r="P4" t="s">
        <v>396</v>
      </c>
    </row>
    <row r="5" spans="1:20" x14ac:dyDescent="0.3">
      <c r="A5" s="97" t="s">
        <v>200</v>
      </c>
      <c r="B5" s="97">
        <v>2018</v>
      </c>
      <c r="C5" s="97">
        <v>2019</v>
      </c>
      <c r="D5" s="97">
        <v>2020</v>
      </c>
      <c r="E5" s="97">
        <v>2021</v>
      </c>
      <c r="F5" s="97">
        <v>2022</v>
      </c>
      <c r="G5" s="119">
        <v>2023</v>
      </c>
      <c r="H5" s="119">
        <v>2024</v>
      </c>
      <c r="I5" s="119">
        <v>2025</v>
      </c>
      <c r="J5" s="119">
        <v>2026</v>
      </c>
      <c r="K5" s="119">
        <v>2027</v>
      </c>
      <c r="L5" s="13"/>
      <c r="P5" t="s">
        <v>397</v>
      </c>
    </row>
    <row r="6" spans="1:20" x14ac:dyDescent="0.3">
      <c r="A6" s="96" t="s">
        <v>183</v>
      </c>
      <c r="B6" s="114">
        <v>2018</v>
      </c>
      <c r="C6" s="114">
        <v>2019</v>
      </c>
      <c r="D6" s="114">
        <v>2020</v>
      </c>
      <c r="E6" s="114">
        <v>2021</v>
      </c>
      <c r="F6" s="114">
        <v>2022</v>
      </c>
      <c r="G6" s="114"/>
      <c r="H6" s="114"/>
      <c r="I6" s="114"/>
      <c r="J6" s="114"/>
      <c r="K6" s="114"/>
      <c r="L6" s="13"/>
      <c r="P6" t="s">
        <v>398</v>
      </c>
    </row>
    <row r="7" spans="1:20" x14ac:dyDescent="0.3">
      <c r="A7" t="s">
        <v>187</v>
      </c>
      <c r="B7" s="111">
        <v>2585602</v>
      </c>
      <c r="C7" s="112">
        <v>2652122</v>
      </c>
      <c r="D7" s="112">
        <v>2903965</v>
      </c>
      <c r="E7" s="112">
        <f>+'22ppe'!C10</f>
        <v>2965805</v>
      </c>
      <c r="F7" s="112">
        <f>+'22ppe'!C25</f>
        <v>2875311</v>
      </c>
      <c r="G7" s="112">
        <f>+F17</f>
        <v>5818466</v>
      </c>
      <c r="H7" s="112">
        <f t="shared" ref="H7:K7" si="0">+G17</f>
        <v>5746674.2820934467</v>
      </c>
      <c r="I7" s="112">
        <f t="shared" si="0"/>
        <v>5679497.6392732821</v>
      </c>
      <c r="J7" s="112">
        <f t="shared" si="0"/>
        <v>5582745.7652032264</v>
      </c>
      <c r="K7" s="112">
        <f t="shared" si="0"/>
        <v>5488526.1383557692</v>
      </c>
      <c r="L7" s="13"/>
    </row>
    <row r="8" spans="1:20" x14ac:dyDescent="0.3">
      <c r="A8" s="126" t="s">
        <v>259</v>
      </c>
      <c r="B8" s="184">
        <v>159001</v>
      </c>
      <c r="C8" s="196">
        <v>53835</v>
      </c>
      <c r="D8" s="196">
        <v>13565</v>
      </c>
      <c r="E8" s="196">
        <f>+'22ppe'!C12</f>
        <v>10026</v>
      </c>
      <c r="F8" s="196">
        <f>+'22ppe'!C27</f>
        <v>1321491</v>
      </c>
      <c r="G8" s="196">
        <v>0</v>
      </c>
      <c r="H8" s="187">
        <v>0</v>
      </c>
      <c r="I8" s="187">
        <v>0</v>
      </c>
      <c r="J8" s="187">
        <v>0</v>
      </c>
      <c r="K8" s="187">
        <v>0</v>
      </c>
      <c r="L8" s="13"/>
    </row>
    <row r="9" spans="1:20" x14ac:dyDescent="0.3">
      <c r="A9" s="126" t="s">
        <v>405</v>
      </c>
      <c r="B9" s="184">
        <v>159001</v>
      </c>
      <c r="C9" s="196">
        <v>53835</v>
      </c>
      <c r="D9" s="196">
        <v>13565</v>
      </c>
      <c r="E9" s="184">
        <v>10026</v>
      </c>
      <c r="F9" s="184">
        <f>+AVERAGE(B9:E9)</f>
        <v>59106.75</v>
      </c>
      <c r="G9" s="184">
        <f>+AVERAGE(B9:F9)</f>
        <v>59106.75</v>
      </c>
      <c r="H9" s="184">
        <f t="shared" ref="H9:K9" si="1">+AVERAGE(C9:G9)</f>
        <v>39127.9</v>
      </c>
      <c r="I9" s="184">
        <f t="shared" si="1"/>
        <v>36186.479999999996</v>
      </c>
      <c r="J9" s="184">
        <f t="shared" si="1"/>
        <v>40710.775999999998</v>
      </c>
      <c r="K9" s="184">
        <f t="shared" si="1"/>
        <v>46847.731200000002</v>
      </c>
      <c r="L9" s="13"/>
    </row>
    <row r="10" spans="1:20" x14ac:dyDescent="0.3">
      <c r="A10" s="188" t="s">
        <v>249</v>
      </c>
      <c r="B10" s="185"/>
      <c r="C10" s="185"/>
      <c r="D10" s="185"/>
      <c r="E10" s="186"/>
      <c r="F10" s="186"/>
      <c r="G10" s="186"/>
      <c r="H10" s="186"/>
      <c r="I10" s="186"/>
      <c r="J10" s="186"/>
      <c r="K10" s="186"/>
      <c r="L10" s="13"/>
    </row>
    <row r="11" spans="1:20" x14ac:dyDescent="0.3">
      <c r="A11" s="189" t="s">
        <v>260</v>
      </c>
      <c r="B11" s="185" t="s">
        <v>101</v>
      </c>
      <c r="C11" s="185" t="s">
        <v>101</v>
      </c>
      <c r="D11" s="185" t="s">
        <v>101</v>
      </c>
      <c r="E11" s="185" t="s">
        <v>101</v>
      </c>
      <c r="F11" s="185">
        <v>-37195</v>
      </c>
      <c r="G11" s="185" t="s">
        <v>82</v>
      </c>
      <c r="H11" s="185" t="s">
        <v>82</v>
      </c>
      <c r="I11" s="185" t="s">
        <v>82</v>
      </c>
      <c r="J11" s="185" t="s">
        <v>82</v>
      </c>
      <c r="K11" s="185" t="s">
        <v>82</v>
      </c>
      <c r="L11" s="13"/>
    </row>
    <row r="12" spans="1:20" x14ac:dyDescent="0.3">
      <c r="A12" s="189" t="s">
        <v>261</v>
      </c>
      <c r="B12" s="185" t="s">
        <v>101</v>
      </c>
      <c r="C12" s="185" t="s">
        <v>101</v>
      </c>
      <c r="D12" s="185" t="s">
        <v>101</v>
      </c>
      <c r="E12" s="185" t="s">
        <v>101</v>
      </c>
      <c r="F12" s="185">
        <v>37195</v>
      </c>
      <c r="G12" s="185" t="s">
        <v>82</v>
      </c>
      <c r="H12" s="185" t="s">
        <v>82</v>
      </c>
      <c r="I12" s="185" t="s">
        <v>82</v>
      </c>
      <c r="J12" s="185" t="s">
        <v>82</v>
      </c>
      <c r="K12" s="185" t="s">
        <v>82</v>
      </c>
      <c r="L12" s="13"/>
    </row>
    <row r="13" spans="1:20" x14ac:dyDescent="0.3">
      <c r="A13" s="116" t="s">
        <v>254</v>
      </c>
      <c r="B13" s="185">
        <v>29972</v>
      </c>
      <c r="C13" s="186">
        <v>348104</v>
      </c>
      <c r="D13" s="186">
        <v>211406</v>
      </c>
      <c r="E13" s="186">
        <v>147079</v>
      </c>
      <c r="F13" s="186">
        <v>1833685</v>
      </c>
      <c r="G13" s="186">
        <v>0</v>
      </c>
      <c r="H13" s="186">
        <v>0</v>
      </c>
      <c r="I13" s="186">
        <v>0</v>
      </c>
      <c r="J13" s="186">
        <v>0</v>
      </c>
      <c r="K13" s="186">
        <v>0</v>
      </c>
      <c r="L13" s="13"/>
      <c r="P13" t="s">
        <v>399</v>
      </c>
    </row>
    <row r="14" spans="1:20" x14ac:dyDescent="0.3">
      <c r="A14" s="116" t="s">
        <v>406</v>
      </c>
      <c r="B14" s="185">
        <v>29972</v>
      </c>
      <c r="C14" s="186">
        <v>348104</v>
      </c>
      <c r="D14" s="186">
        <v>211406</v>
      </c>
      <c r="E14" s="186">
        <v>147079</v>
      </c>
      <c r="F14" s="186">
        <f>+AVERAGE(B14:E14)</f>
        <v>184140.25</v>
      </c>
      <c r="G14" s="186">
        <f>+AVERAGE(B14:F14)</f>
        <v>184140.25</v>
      </c>
      <c r="H14" s="186">
        <f t="shared" ref="H14:J14" si="2">+AVERAGE(C14:G14)</f>
        <v>214973.9</v>
      </c>
      <c r="I14" s="186">
        <f t="shared" si="2"/>
        <v>188347.88</v>
      </c>
      <c r="J14" s="186">
        <f t="shared" si="2"/>
        <v>183736.25599999999</v>
      </c>
      <c r="K14" s="186">
        <f>+AVERAGE(F14:J14)</f>
        <v>191067.7072</v>
      </c>
      <c r="L14" s="13"/>
      <c r="P14" t="s">
        <v>400</v>
      </c>
      <c r="T14" t="s">
        <v>401</v>
      </c>
    </row>
    <row r="15" spans="1:20" x14ac:dyDescent="0.3">
      <c r="A15" s="93" t="s">
        <v>262</v>
      </c>
      <c r="B15" s="235">
        <v>-122453</v>
      </c>
      <c r="C15" s="118">
        <v>-150096</v>
      </c>
      <c r="D15" s="118">
        <v>-163131</v>
      </c>
      <c r="E15" s="118">
        <f>+'22ppe'!C18</f>
        <v>-247599</v>
      </c>
      <c r="F15" s="118">
        <f>+'22ppe'!C33</f>
        <v>-212021</v>
      </c>
      <c r="G15" s="118">
        <f>SUM(G7:G14)*G16</f>
        <v>-315038.71790655318</v>
      </c>
      <c r="H15" s="118">
        <f t="shared" ref="H15:K15" si="3">SUM(H7:H14)*H16</f>
        <v>-321278.44282016548</v>
      </c>
      <c r="I15" s="118">
        <f t="shared" si="3"/>
        <v>-321286.23407005658</v>
      </c>
      <c r="J15" s="118">
        <f t="shared" si="3"/>
        <v>-318666.65884745668</v>
      </c>
      <c r="K15" s="118">
        <f t="shared" si="3"/>
        <v>-286278.72665327898</v>
      </c>
      <c r="L15" s="13"/>
      <c r="P15" t="s">
        <v>266</v>
      </c>
      <c r="T15" t="s">
        <v>402</v>
      </c>
    </row>
    <row r="16" spans="1:20" x14ac:dyDescent="0.3">
      <c r="A16" s="93" t="s">
        <v>404</v>
      </c>
      <c r="B16" s="192">
        <f>B15/(B17-B15)</f>
        <v>-4.4133966463332223E-2</v>
      </c>
      <c r="C16" s="192">
        <f t="shared" ref="C16:F16" si="4">C15/(C17-C15)</f>
        <v>-4.9146366100742585E-2</v>
      </c>
      <c r="D16" s="192">
        <f t="shared" si="4"/>
        <v>-5.2136253346185414E-2</v>
      </c>
      <c r="E16" s="192">
        <f t="shared" si="4"/>
        <v>-7.9284705611112713E-2</v>
      </c>
      <c r="F16" s="192">
        <f t="shared" si="4"/>
        <v>-3.5158188716765328E-2</v>
      </c>
      <c r="G16" s="191">
        <f>+AVERAGE(B16:F16)</f>
        <v>-5.1971896047627655E-2</v>
      </c>
      <c r="H16" s="191">
        <f t="shared" ref="H16:K16" si="5">+AVERAGE(C16:G16)</f>
        <v>-5.3539481964486733E-2</v>
      </c>
      <c r="I16" s="191">
        <f t="shared" si="5"/>
        <v>-5.4418105137235565E-2</v>
      </c>
      <c r="J16" s="191">
        <f t="shared" si="5"/>
        <v>-5.4874475495445607E-2</v>
      </c>
      <c r="K16" s="191">
        <f t="shared" si="5"/>
        <v>-4.999242947231218E-2</v>
      </c>
      <c r="L16" s="13"/>
    </row>
    <row r="17" spans="1:20" x14ac:dyDescent="0.3">
      <c r="A17" t="s">
        <v>196</v>
      </c>
      <c r="B17" s="111">
        <f>SUM(B7:B15)-B14-B9</f>
        <v>2652122</v>
      </c>
      <c r="C17" s="111">
        <f t="shared" ref="C17:F17" si="6">SUM(C7:C15)-C14-C9</f>
        <v>2903965</v>
      </c>
      <c r="D17" s="111">
        <f t="shared" si="6"/>
        <v>2965805</v>
      </c>
      <c r="E17" s="111">
        <f t="shared" si="6"/>
        <v>2875311</v>
      </c>
      <c r="F17" s="111">
        <f t="shared" si="6"/>
        <v>5818466</v>
      </c>
      <c r="G17" s="111">
        <f>SUM(G7:G15)</f>
        <v>5746674.2820934467</v>
      </c>
      <c r="H17" s="111">
        <f t="shared" ref="H17:J17" si="7">SUM(H7:H15)</f>
        <v>5679497.6392732821</v>
      </c>
      <c r="I17" s="111">
        <f t="shared" si="7"/>
        <v>5582745.7652032264</v>
      </c>
      <c r="J17" s="111">
        <f t="shared" si="7"/>
        <v>5488526.1383557692</v>
      </c>
      <c r="K17" s="111">
        <f>SUM(K7:K15)</f>
        <v>5440162.8501024907</v>
      </c>
      <c r="L17" s="13"/>
      <c r="P17" t="s">
        <v>268</v>
      </c>
      <c r="T17" t="s">
        <v>403</v>
      </c>
    </row>
    <row r="18" spans="1:20" x14ac:dyDescent="0.3">
      <c r="A18" s="96" t="s">
        <v>263</v>
      </c>
      <c r="B18" s="111"/>
      <c r="C18" s="112"/>
      <c r="D18" s="112"/>
      <c r="E18" s="112">
        <v>0</v>
      </c>
      <c r="F18" s="112">
        <v>0</v>
      </c>
      <c r="G18" s="112"/>
      <c r="H18" s="112"/>
      <c r="I18" s="112"/>
      <c r="J18" s="112"/>
      <c r="K18" s="112"/>
      <c r="L18" s="13"/>
    </row>
    <row r="19" spans="1:20" x14ac:dyDescent="0.3">
      <c r="A19" t="s">
        <v>264</v>
      </c>
      <c r="B19" s="111">
        <v>3596387</v>
      </c>
      <c r="C19" s="112">
        <v>4131304</v>
      </c>
      <c r="D19" s="112">
        <v>4458507</v>
      </c>
      <c r="E19" s="112">
        <f>+'22ppe'!C21</f>
        <v>4713332</v>
      </c>
      <c r="F19" s="112">
        <f>+'22ppe'!C36</f>
        <v>8758907</v>
      </c>
      <c r="G19" s="112">
        <f>+G21-G20</f>
        <v>9002154</v>
      </c>
      <c r="H19" s="112">
        <f t="shared" ref="H19:K19" si="8">+H21-H20</f>
        <v>9256255.8000000007</v>
      </c>
      <c r="I19" s="112">
        <f t="shared" si="8"/>
        <v>9480790.160000002</v>
      </c>
      <c r="J19" s="112">
        <f t="shared" si="8"/>
        <v>9705237.1920000017</v>
      </c>
      <c r="K19" s="112">
        <f t="shared" si="8"/>
        <v>9943152.630400002</v>
      </c>
      <c r="L19" s="13"/>
    </row>
    <row r="20" spans="1:20" x14ac:dyDescent="0.3">
      <c r="A20" t="s">
        <v>265</v>
      </c>
      <c r="B20" s="111">
        <v>-944265</v>
      </c>
      <c r="C20" s="112">
        <v>-1227339</v>
      </c>
      <c r="D20" s="112">
        <v>-1492702</v>
      </c>
      <c r="E20" s="112">
        <f>+'22ppe'!C22</f>
        <v>-1838021</v>
      </c>
      <c r="F20" s="112">
        <f>+'22ppe'!C37</f>
        <v>-2940441</v>
      </c>
      <c r="G20" s="112">
        <f>+F20+G15</f>
        <v>-3255479.7179065533</v>
      </c>
      <c r="H20" s="112">
        <f t="shared" ref="H20:K20" si="9">+G20+H15</f>
        <v>-3576758.1607267186</v>
      </c>
      <c r="I20" s="112">
        <f t="shared" si="9"/>
        <v>-3898044.3947967752</v>
      </c>
      <c r="J20" s="112">
        <f t="shared" si="9"/>
        <v>-4216711.0536442315</v>
      </c>
      <c r="K20" s="112">
        <f t="shared" si="9"/>
        <v>-4502989.7802975103</v>
      </c>
      <c r="L20" s="13"/>
    </row>
    <row r="21" spans="1:20" x14ac:dyDescent="0.3">
      <c r="A21" s="81" t="s">
        <v>204</v>
      </c>
      <c r="B21" s="115">
        <f>SUM(B19:B20)</f>
        <v>2652122</v>
      </c>
      <c r="C21" s="115">
        <f>SUM(C19:C20)</f>
        <v>2903965</v>
      </c>
      <c r="D21" s="115">
        <f t="shared" ref="D21:F21" si="10">SUM(D19:D20)</f>
        <v>2965805</v>
      </c>
      <c r="E21" s="115">
        <f t="shared" si="10"/>
        <v>2875311</v>
      </c>
      <c r="F21" s="115">
        <f t="shared" si="10"/>
        <v>5818466</v>
      </c>
      <c r="G21" s="115">
        <f>+G17</f>
        <v>5746674.2820934467</v>
      </c>
      <c r="H21" s="115">
        <f t="shared" ref="H21:K21" si="11">+H17</f>
        <v>5679497.6392732821</v>
      </c>
      <c r="I21" s="115">
        <f t="shared" si="11"/>
        <v>5582745.7652032264</v>
      </c>
      <c r="J21" s="115">
        <f t="shared" si="11"/>
        <v>5488526.1383557692</v>
      </c>
      <c r="K21" s="115">
        <f t="shared" si="11"/>
        <v>5440162.8501024907</v>
      </c>
      <c r="L21" s="13"/>
    </row>
    <row r="22" spans="1:20" x14ac:dyDescent="0.3">
      <c r="L22" s="13"/>
    </row>
    <row r="23" spans="1:20" x14ac:dyDescent="0.3">
      <c r="A23" s="4"/>
      <c r="B23" s="195">
        <f>+'18ppe'!D37</f>
        <v>2652122</v>
      </c>
      <c r="C23" s="195">
        <f>+'19ppe'!C21</f>
        <v>2903965</v>
      </c>
      <c r="D23" s="195">
        <f>+'19ppe'!C37</f>
        <v>2965805</v>
      </c>
      <c r="E23" s="195">
        <f>+'22ppe'!C19</f>
        <v>2875311</v>
      </c>
      <c r="F23" s="195">
        <f>+'22ppe'!C38</f>
        <v>5818466</v>
      </c>
      <c r="G23" s="195">
        <f>+G21</f>
        <v>5746674.2820934467</v>
      </c>
      <c r="H23" s="195">
        <f>+H21</f>
        <v>5679497.6392732821</v>
      </c>
      <c r="I23" s="195">
        <f>+I21</f>
        <v>5582745.7652032264</v>
      </c>
      <c r="J23" s="195">
        <f>+J21</f>
        <v>5488526.1383557692</v>
      </c>
      <c r="K23" s="195">
        <f>+K21</f>
        <v>5440162.8501024907</v>
      </c>
      <c r="L23" s="13"/>
    </row>
    <row r="24" spans="1:20" x14ac:dyDescent="0.3">
      <c r="B24" s="195">
        <f>+B23-B21</f>
        <v>0</v>
      </c>
      <c r="C24" s="195">
        <f t="shared" ref="C24:F24" si="12">+C23-C21</f>
        <v>0</v>
      </c>
      <c r="D24" s="195">
        <f t="shared" si="12"/>
        <v>0</v>
      </c>
      <c r="E24" s="195">
        <f t="shared" si="12"/>
        <v>0</v>
      </c>
      <c r="F24" s="195">
        <f t="shared" si="12"/>
        <v>0</v>
      </c>
      <c r="G24" s="195">
        <f t="shared" ref="G24" si="13">+G23-G21</f>
        <v>0</v>
      </c>
      <c r="H24" s="195">
        <f t="shared" ref="H24" si="14">+H23-H21</f>
        <v>0</v>
      </c>
      <c r="I24" s="195">
        <f t="shared" ref="I24" si="15">+I23-I21</f>
        <v>0</v>
      </c>
      <c r="J24" s="195">
        <f t="shared" ref="J24" si="16">+J23-J21</f>
        <v>0</v>
      </c>
      <c r="K24" s="195">
        <f t="shared" ref="K24" si="17">+K23-K21</f>
        <v>0</v>
      </c>
      <c r="L24" s="13"/>
      <c r="T24">
        <f>23+50</f>
        <v>73</v>
      </c>
    </row>
    <row r="25" spans="1:20" x14ac:dyDescent="0.3">
      <c r="B25" s="195">
        <f>+B17-B23</f>
        <v>0</v>
      </c>
      <c r="C25" s="195">
        <f t="shared" ref="C25:K25" si="18">+C17-C23</f>
        <v>0</v>
      </c>
      <c r="D25" s="195">
        <f t="shared" si="18"/>
        <v>0</v>
      </c>
      <c r="E25" s="195">
        <f t="shared" si="18"/>
        <v>0</v>
      </c>
      <c r="F25" s="195">
        <f t="shared" si="18"/>
        <v>0</v>
      </c>
      <c r="G25" s="195">
        <f t="shared" si="18"/>
        <v>0</v>
      </c>
      <c r="H25" s="195">
        <f t="shared" si="18"/>
        <v>0</v>
      </c>
      <c r="I25" s="195">
        <f t="shared" si="18"/>
        <v>0</v>
      </c>
      <c r="J25" s="195">
        <f t="shared" si="18"/>
        <v>0</v>
      </c>
      <c r="K25" s="195">
        <f t="shared" si="18"/>
        <v>0</v>
      </c>
      <c r="L25" s="13"/>
      <c r="T25">
        <f>+T24/2</f>
        <v>36.5</v>
      </c>
    </row>
    <row r="26" spans="1:20" x14ac:dyDescent="0.3">
      <c r="L26" s="13"/>
    </row>
    <row r="27" spans="1:20" x14ac:dyDescent="0.3">
      <c r="A27" s="97" t="s">
        <v>266</v>
      </c>
      <c r="B27" s="97">
        <v>2018</v>
      </c>
      <c r="C27" s="97">
        <v>2019</v>
      </c>
      <c r="D27" s="97">
        <v>2020</v>
      </c>
      <c r="E27" s="97">
        <v>2021</v>
      </c>
      <c r="F27" s="97">
        <v>2022</v>
      </c>
      <c r="G27" s="119">
        <v>2023</v>
      </c>
      <c r="H27" s="119">
        <v>2024</v>
      </c>
      <c r="I27" s="119">
        <v>2025</v>
      </c>
      <c r="J27" s="119">
        <v>2026</v>
      </c>
      <c r="K27" s="119">
        <v>2027</v>
      </c>
      <c r="L27" s="13"/>
    </row>
    <row r="28" spans="1:20" x14ac:dyDescent="0.3">
      <c r="A28" s="96" t="s">
        <v>183</v>
      </c>
      <c r="B28" s="114">
        <v>2018</v>
      </c>
      <c r="C28" s="114">
        <v>2019</v>
      </c>
      <c r="D28" s="114">
        <v>2020</v>
      </c>
      <c r="E28" s="114">
        <v>2021</v>
      </c>
      <c r="F28" s="114">
        <v>2022</v>
      </c>
      <c r="G28" s="114"/>
      <c r="H28" s="114"/>
      <c r="I28" s="114"/>
      <c r="J28" s="114"/>
      <c r="K28" s="114"/>
      <c r="L28" s="13"/>
    </row>
    <row r="29" spans="1:20" x14ac:dyDescent="0.3">
      <c r="A29" t="s">
        <v>187</v>
      </c>
      <c r="B29" s="111">
        <v>3923394</v>
      </c>
      <c r="C29" s="112">
        <v>4324667</v>
      </c>
      <c r="D29" s="112">
        <f>+'19ppe'!D27</f>
        <v>4754116</v>
      </c>
      <c r="E29" s="112">
        <v>4989908</v>
      </c>
      <c r="F29" s="112">
        <v>4952520</v>
      </c>
      <c r="G29" s="112">
        <f>+F42</f>
        <v>7419304</v>
      </c>
      <c r="H29" s="112">
        <f>+G42</f>
        <v>7308539.768709762</v>
      </c>
      <c r="I29" s="112">
        <f t="shared" ref="I29:K29" si="19">+H42</f>
        <v>7221628.9855418112</v>
      </c>
      <c r="J29" s="112">
        <f t="shared" si="19"/>
        <v>7139287.7508599814</v>
      </c>
      <c r="K29" s="112">
        <f t="shared" si="19"/>
        <v>7073173.1824845402</v>
      </c>
      <c r="L29" s="13"/>
    </row>
    <row r="30" spans="1:20" x14ac:dyDescent="0.3">
      <c r="A30" s="126" t="s">
        <v>259</v>
      </c>
      <c r="B30" s="184">
        <v>1166805</v>
      </c>
      <c r="C30" s="187">
        <v>795311</v>
      </c>
      <c r="D30" s="187">
        <v>772263</v>
      </c>
      <c r="E30" s="187">
        <v>547106</v>
      </c>
      <c r="F30" s="187">
        <v>1033651</v>
      </c>
      <c r="G30" s="187">
        <v>0</v>
      </c>
      <c r="H30" s="187">
        <v>0</v>
      </c>
      <c r="I30" s="187">
        <v>0</v>
      </c>
      <c r="J30" s="187">
        <v>0</v>
      </c>
      <c r="K30" s="187">
        <v>0</v>
      </c>
      <c r="L30" s="13"/>
    </row>
    <row r="31" spans="1:20" x14ac:dyDescent="0.3">
      <c r="A31" s="126" t="s">
        <v>405</v>
      </c>
      <c r="B31" s="184">
        <v>1166805</v>
      </c>
      <c r="C31" s="187">
        <v>795311</v>
      </c>
      <c r="D31" s="187">
        <v>772263</v>
      </c>
      <c r="E31" s="187">
        <v>547106</v>
      </c>
      <c r="F31" s="187">
        <f>+AVERAGE(B31:E31)</f>
        <v>820371.25</v>
      </c>
      <c r="G31" s="187">
        <f>+AVERAGE(B31:F31)</f>
        <v>820371.25</v>
      </c>
      <c r="H31" s="187">
        <f t="shared" ref="H31:K31" si="20">+AVERAGE(C31:G31)</f>
        <v>751084.5</v>
      </c>
      <c r="I31" s="187">
        <f t="shared" si="20"/>
        <v>742239.2</v>
      </c>
      <c r="J31" s="187">
        <f t="shared" si="20"/>
        <v>736234.44000000006</v>
      </c>
      <c r="K31" s="187">
        <f t="shared" si="20"/>
        <v>774060.12800000003</v>
      </c>
      <c r="L31" s="13"/>
    </row>
    <row r="32" spans="1:20" x14ac:dyDescent="0.3">
      <c r="A32" s="188" t="s">
        <v>249</v>
      </c>
      <c r="B32" s="185"/>
      <c r="C32" s="185"/>
      <c r="D32" s="185"/>
      <c r="E32" s="186"/>
      <c r="F32" s="186"/>
      <c r="G32" s="186"/>
      <c r="H32" s="186"/>
      <c r="I32" s="186"/>
      <c r="J32" s="186"/>
      <c r="K32" s="186"/>
      <c r="L32" s="13"/>
    </row>
    <row r="33" spans="1:12" x14ac:dyDescent="0.3">
      <c r="A33" s="189" t="s">
        <v>260</v>
      </c>
      <c r="B33" s="185">
        <v>-23083</v>
      </c>
      <c r="C33" s="185">
        <v>-106180</v>
      </c>
      <c r="D33" s="185">
        <f>+'19ppe'!D29</f>
        <v>-187033</v>
      </c>
      <c r="E33" s="185">
        <v>-74881</v>
      </c>
      <c r="F33" s="185">
        <v>-23519</v>
      </c>
      <c r="G33" s="185" t="s">
        <v>82</v>
      </c>
      <c r="H33" s="185" t="s">
        <v>82</v>
      </c>
      <c r="I33" s="185" t="s">
        <v>82</v>
      </c>
      <c r="J33" s="185" t="s">
        <v>82</v>
      </c>
      <c r="K33" s="185" t="s">
        <v>82</v>
      </c>
      <c r="L33" s="13"/>
    </row>
    <row r="34" spans="1:12" x14ac:dyDescent="0.3">
      <c r="A34" s="189" t="s">
        <v>261</v>
      </c>
      <c r="B34" s="185">
        <v>22622</v>
      </c>
      <c r="C34" s="185">
        <v>102946</v>
      </c>
      <c r="D34" s="185">
        <f>+'19ppe'!D30</f>
        <v>162891</v>
      </c>
      <c r="E34" s="185">
        <v>74881</v>
      </c>
      <c r="F34" s="185">
        <v>23519</v>
      </c>
      <c r="G34" s="185" t="s">
        <v>82</v>
      </c>
      <c r="H34" s="185" t="s">
        <v>82</v>
      </c>
      <c r="I34" s="185" t="s">
        <v>82</v>
      </c>
      <c r="J34" s="185" t="s">
        <v>82</v>
      </c>
      <c r="K34" s="185" t="s">
        <v>82</v>
      </c>
      <c r="L34" s="13"/>
    </row>
    <row r="35" spans="1:12" x14ac:dyDescent="0.3">
      <c r="A35" s="188" t="s">
        <v>253</v>
      </c>
      <c r="B35" s="185"/>
      <c r="C35" s="185"/>
      <c r="D35" s="185"/>
      <c r="E35" s="185"/>
      <c r="F35" s="185"/>
      <c r="G35" s="185"/>
      <c r="H35" s="185"/>
      <c r="I35" s="185"/>
      <c r="J35" s="185"/>
      <c r="K35" s="185"/>
      <c r="L35" s="13"/>
    </row>
    <row r="36" spans="1:12" x14ac:dyDescent="0.3">
      <c r="A36" s="116" t="s">
        <v>267</v>
      </c>
      <c r="B36" s="185">
        <v>124</v>
      </c>
      <c r="C36" s="185" t="s">
        <v>82</v>
      </c>
      <c r="D36" s="185" t="s">
        <v>82</v>
      </c>
      <c r="E36" s="185" t="s">
        <v>82</v>
      </c>
      <c r="F36" s="185" t="s">
        <v>82</v>
      </c>
      <c r="G36" s="185" t="s">
        <v>82</v>
      </c>
      <c r="H36" s="185" t="s">
        <v>82</v>
      </c>
      <c r="I36" s="185" t="s">
        <v>82</v>
      </c>
      <c r="J36" s="185" t="s">
        <v>82</v>
      </c>
      <c r="K36" s="185" t="s">
        <v>82</v>
      </c>
      <c r="L36" s="13"/>
    </row>
    <row r="37" spans="1:12" x14ac:dyDescent="0.3">
      <c r="A37" s="189" t="s">
        <v>261</v>
      </c>
      <c r="B37" s="185" t="s">
        <v>82</v>
      </c>
      <c r="C37" s="185" t="s">
        <v>82</v>
      </c>
      <c r="D37" s="185" t="s">
        <v>82</v>
      </c>
      <c r="E37" s="185" t="s">
        <v>82</v>
      </c>
      <c r="F37" s="185" t="s">
        <v>82</v>
      </c>
      <c r="G37" s="185" t="s">
        <v>82</v>
      </c>
      <c r="H37" s="185" t="s">
        <v>82</v>
      </c>
      <c r="I37" s="185" t="s">
        <v>82</v>
      </c>
      <c r="J37" s="185" t="s">
        <v>82</v>
      </c>
      <c r="K37" s="185" t="s">
        <v>82</v>
      </c>
      <c r="L37" s="13"/>
    </row>
    <row r="38" spans="1:12" x14ac:dyDescent="0.3">
      <c r="A38" s="116" t="s">
        <v>254</v>
      </c>
      <c r="B38" s="185">
        <v>49877</v>
      </c>
      <c r="C38" s="186">
        <v>568511</v>
      </c>
      <c r="D38" s="186">
        <v>353342</v>
      </c>
      <c r="E38" s="186">
        <v>254419</v>
      </c>
      <c r="F38" s="186">
        <v>2341246</v>
      </c>
      <c r="G38" s="186">
        <v>0</v>
      </c>
      <c r="H38" s="186">
        <v>0</v>
      </c>
      <c r="I38" s="186">
        <v>0</v>
      </c>
      <c r="J38" s="186">
        <v>0</v>
      </c>
      <c r="K38" s="186">
        <v>0</v>
      </c>
      <c r="L38" s="13"/>
    </row>
    <row r="39" spans="1:12" x14ac:dyDescent="0.3">
      <c r="A39" s="116" t="s">
        <v>395</v>
      </c>
      <c r="B39" s="185">
        <v>49877</v>
      </c>
      <c r="C39" s="186">
        <v>568511</v>
      </c>
      <c r="D39" s="186">
        <v>353342</v>
      </c>
      <c r="E39" s="186">
        <v>254419</v>
      </c>
      <c r="F39" s="186">
        <f>+AVERAGE(B39:E39)</f>
        <v>306537.25</v>
      </c>
      <c r="G39" s="186">
        <f>+AVERAGE(B39:F39)</f>
        <v>306537.25</v>
      </c>
      <c r="H39" s="186">
        <f t="shared" ref="H39:K39" si="21">+AVERAGE(C39:G39)</f>
        <v>357869.3</v>
      </c>
      <c r="I39" s="186">
        <f t="shared" si="21"/>
        <v>315740.96000000002</v>
      </c>
      <c r="J39" s="186">
        <f t="shared" si="21"/>
        <v>308220.75199999998</v>
      </c>
      <c r="K39" s="186">
        <f t="shared" si="21"/>
        <v>318981.10240000003</v>
      </c>
      <c r="L39" s="13"/>
    </row>
    <row r="40" spans="1:12" x14ac:dyDescent="0.3">
      <c r="A40" s="93" t="s">
        <v>262</v>
      </c>
      <c r="B40" s="235">
        <v>-815072</v>
      </c>
      <c r="C40" s="118">
        <v>-931139</v>
      </c>
      <c r="D40" s="118">
        <f>+'19ppe'!D32</f>
        <v>-865671</v>
      </c>
      <c r="E40" s="118">
        <v>-838914</v>
      </c>
      <c r="F40" s="118">
        <v>-908113</v>
      </c>
      <c r="G40" s="118">
        <f>SUM(G29:G39)*G41</f>
        <v>-1237672.7312902375</v>
      </c>
      <c r="H40" s="118">
        <f t="shared" ref="H40:K40" si="22">SUM(H29:H39)*H41</f>
        <v>-1195864.5831679511</v>
      </c>
      <c r="I40" s="118">
        <f t="shared" si="22"/>
        <v>-1140321.3946818304</v>
      </c>
      <c r="J40" s="118">
        <f t="shared" si="22"/>
        <v>-1110569.760375442</v>
      </c>
      <c r="K40" s="118">
        <f t="shared" si="22"/>
        <v>-1093247.0533141124</v>
      </c>
      <c r="L40" s="13"/>
    </row>
    <row r="41" spans="1:12" x14ac:dyDescent="0.3">
      <c r="A41" s="93" t="s">
        <v>404</v>
      </c>
      <c r="B41" s="192">
        <f>+B40/(B42-B40)</f>
        <v>-0.15858237159513353</v>
      </c>
      <c r="C41" s="192">
        <f t="shared" ref="C41:F41" si="23">+C40/(C42-C40)</f>
        <v>-0.16378139590924243</v>
      </c>
      <c r="D41" s="192">
        <f t="shared" si="23"/>
        <v>-0.14783696027327101</v>
      </c>
      <c r="E41" s="192">
        <f t="shared" si="23"/>
        <v>-0.14485427961365008</v>
      </c>
      <c r="F41" s="192">
        <f t="shared" si="23"/>
        <v>-0.10905098183506362</v>
      </c>
      <c r="G41" s="191">
        <f>+AVERAGE(B41:F41)</f>
        <v>-0.14482119784527211</v>
      </c>
      <c r="H41" s="191">
        <f t="shared" ref="H41:K41" si="24">+AVERAGE(C41:G41)</f>
        <v>-0.14206896309529984</v>
      </c>
      <c r="I41" s="191">
        <f t="shared" si="24"/>
        <v>-0.13772647653251133</v>
      </c>
      <c r="J41" s="191">
        <f t="shared" si="24"/>
        <v>-0.1357043797843594</v>
      </c>
      <c r="K41" s="191">
        <f t="shared" si="24"/>
        <v>-0.13387439981850124</v>
      </c>
      <c r="L41" s="13"/>
    </row>
    <row r="42" spans="1:12" x14ac:dyDescent="0.3">
      <c r="A42" t="s">
        <v>196</v>
      </c>
      <c r="B42" s="111">
        <f>SUM(B29:B40)-B39-B31</f>
        <v>4324667</v>
      </c>
      <c r="C42" s="111">
        <f t="shared" ref="C42:D42" si="25">SUM(C29:C40)-C39-C31</f>
        <v>4754116</v>
      </c>
      <c r="D42" s="111">
        <f t="shared" si="25"/>
        <v>4989908</v>
      </c>
      <c r="E42" s="111">
        <f>SUM(E29:E40)-E39-E31+1</f>
        <v>4952520</v>
      </c>
      <c r="F42" s="111">
        <f>SUM(F29:F40)-F39-F31</f>
        <v>7419304</v>
      </c>
      <c r="G42" s="111">
        <f>SUM(G29:G40)</f>
        <v>7308539.768709762</v>
      </c>
      <c r="H42" s="111">
        <f t="shared" ref="H42:K42" si="26">SUM(H29:H40)</f>
        <v>7221628.9855418112</v>
      </c>
      <c r="I42" s="111">
        <f t="shared" si="26"/>
        <v>7139287.7508599814</v>
      </c>
      <c r="J42" s="111">
        <f t="shared" si="26"/>
        <v>7073173.1824845402</v>
      </c>
      <c r="K42" s="111">
        <f t="shared" si="26"/>
        <v>7072967.3595704278</v>
      </c>
      <c r="L42" s="13"/>
    </row>
    <row r="43" spans="1:12" x14ac:dyDescent="0.3">
      <c r="A43" s="96" t="s">
        <v>263</v>
      </c>
      <c r="B43" s="111"/>
      <c r="C43" s="112"/>
      <c r="D43" s="112"/>
      <c r="E43" s="112"/>
      <c r="F43" s="112"/>
      <c r="G43" s="112"/>
      <c r="H43" s="112"/>
      <c r="I43" s="112"/>
      <c r="J43" s="112"/>
      <c r="K43" s="112"/>
      <c r="L43" s="13"/>
    </row>
    <row r="44" spans="1:12" x14ac:dyDescent="0.3">
      <c r="A44" t="s">
        <v>264</v>
      </c>
      <c r="B44" s="111">
        <v>11804375</v>
      </c>
      <c r="C44" s="112">
        <v>14097677</v>
      </c>
      <c r="D44" s="112">
        <v>15783844</v>
      </c>
      <c r="E44" s="112">
        <v>17150880</v>
      </c>
      <c r="F44" s="112">
        <v>26532234</v>
      </c>
      <c r="G44" s="112">
        <f>+G46-G45</f>
        <v>27659142.5</v>
      </c>
      <c r="H44" s="112">
        <f t="shared" ref="H44:K44" si="27">+H46-H45</f>
        <v>28768096.299999997</v>
      </c>
      <c r="I44" s="112">
        <f t="shared" si="27"/>
        <v>29826076.460000001</v>
      </c>
      <c r="J44" s="112">
        <f t="shared" si="27"/>
        <v>30870531.651999999</v>
      </c>
      <c r="K44" s="112">
        <f t="shared" si="27"/>
        <v>31963572.882399999</v>
      </c>
      <c r="L44" s="13"/>
    </row>
    <row r="45" spans="1:12" x14ac:dyDescent="0.3">
      <c r="A45" t="s">
        <v>265</v>
      </c>
      <c r="B45" s="111">
        <v>-7479708</v>
      </c>
      <c r="C45" s="112">
        <v>-9343561</v>
      </c>
      <c r="D45" s="112">
        <v>-10793936</v>
      </c>
      <c r="E45" s="112">
        <v>-12198360</v>
      </c>
      <c r="F45" s="112">
        <v>-19112930</v>
      </c>
      <c r="G45" s="112">
        <f>+F45+G40</f>
        <v>-20350602.731290236</v>
      </c>
      <c r="H45" s="112">
        <f t="shared" ref="H45:K45" si="28">+G45+H40</f>
        <v>-21546467.314458188</v>
      </c>
      <c r="I45" s="112">
        <f t="shared" si="28"/>
        <v>-22686788.709140018</v>
      </c>
      <c r="J45" s="112">
        <f t="shared" si="28"/>
        <v>-23797358.469515458</v>
      </c>
      <c r="K45" s="112">
        <f t="shared" si="28"/>
        <v>-24890605.52282957</v>
      </c>
      <c r="L45" s="13"/>
    </row>
    <row r="46" spans="1:12" x14ac:dyDescent="0.3">
      <c r="A46" s="81" t="s">
        <v>204</v>
      </c>
      <c r="B46" s="113">
        <f>SUM(B44:B45)</f>
        <v>4324667</v>
      </c>
      <c r="C46" s="113">
        <f>SUM(C44:C45)</f>
        <v>4754116</v>
      </c>
      <c r="D46" s="113">
        <f t="shared" ref="D46" si="29">SUM(D44:D45)</f>
        <v>4989908</v>
      </c>
      <c r="E46" s="113">
        <f t="shared" ref="E46" si="30">SUM(E44:E45)</f>
        <v>4952520</v>
      </c>
      <c r="F46" s="113">
        <f t="shared" ref="F46" si="31">SUM(F44:F45)</f>
        <v>7419304</v>
      </c>
      <c r="G46" s="113">
        <f>+G42</f>
        <v>7308539.768709762</v>
      </c>
      <c r="H46" s="113">
        <f t="shared" ref="H46:K46" si="32">+H42</f>
        <v>7221628.9855418112</v>
      </c>
      <c r="I46" s="113">
        <f t="shared" si="32"/>
        <v>7139287.7508599814</v>
      </c>
      <c r="J46" s="113">
        <f t="shared" si="32"/>
        <v>7073173.1824845402</v>
      </c>
      <c r="K46" s="113">
        <f t="shared" si="32"/>
        <v>7072967.3595704278</v>
      </c>
      <c r="L46" s="13"/>
    </row>
    <row r="47" spans="1:12" x14ac:dyDescent="0.3">
      <c r="L47" s="13"/>
    </row>
    <row r="48" spans="1:12" x14ac:dyDescent="0.3">
      <c r="B48" s="195">
        <f>+'18ppe'!E37</f>
        <v>4324667</v>
      </c>
      <c r="C48" s="195">
        <f>+'19ppe'!D25</f>
        <v>4754116</v>
      </c>
      <c r="D48" s="195">
        <f>+'19ppe'!D37</f>
        <v>4989908</v>
      </c>
      <c r="E48" s="195">
        <f>+'22ppe'!D23</f>
        <v>4952520</v>
      </c>
      <c r="F48" s="195">
        <f>+'22ppe'!D38</f>
        <v>7419304</v>
      </c>
      <c r="G48" s="195">
        <f>+G46</f>
        <v>7308539.768709762</v>
      </c>
      <c r="H48" s="195">
        <f t="shared" ref="H48:K48" si="33">+H46</f>
        <v>7221628.9855418112</v>
      </c>
      <c r="I48" s="195">
        <f t="shared" si="33"/>
        <v>7139287.7508599814</v>
      </c>
      <c r="J48" s="195">
        <f t="shared" si="33"/>
        <v>7073173.1824845402</v>
      </c>
      <c r="K48" s="195">
        <f t="shared" si="33"/>
        <v>7072967.3595704278</v>
      </c>
      <c r="L48" s="13"/>
    </row>
    <row r="49" spans="1:12" x14ac:dyDescent="0.3">
      <c r="B49" s="194">
        <f>+B48-B46</f>
        <v>0</v>
      </c>
      <c r="C49" s="194">
        <f t="shared" ref="C49:K49" si="34">+C48-C46</f>
        <v>0</v>
      </c>
      <c r="D49" s="194">
        <f t="shared" si="34"/>
        <v>0</v>
      </c>
      <c r="E49" s="194">
        <f t="shared" si="34"/>
        <v>0</v>
      </c>
      <c r="F49" s="194">
        <f t="shared" si="34"/>
        <v>0</v>
      </c>
      <c r="G49" s="194">
        <f t="shared" si="34"/>
        <v>0</v>
      </c>
      <c r="H49" s="194">
        <f t="shared" si="34"/>
        <v>0</v>
      </c>
      <c r="I49" s="194">
        <f t="shared" si="34"/>
        <v>0</v>
      </c>
      <c r="J49" s="194">
        <f t="shared" si="34"/>
        <v>0</v>
      </c>
      <c r="K49" s="194">
        <f t="shared" si="34"/>
        <v>0</v>
      </c>
      <c r="L49" s="13"/>
    </row>
    <row r="50" spans="1:12" x14ac:dyDescent="0.3">
      <c r="B50" s="195">
        <f>+B42-B48</f>
        <v>0</v>
      </c>
      <c r="C50" s="195">
        <f t="shared" ref="C50:K50" si="35">+C42-C48</f>
        <v>0</v>
      </c>
      <c r="D50" s="195">
        <f t="shared" si="35"/>
        <v>0</v>
      </c>
      <c r="E50" s="195">
        <f t="shared" si="35"/>
        <v>0</v>
      </c>
      <c r="F50" s="195">
        <f t="shared" si="35"/>
        <v>0</v>
      </c>
      <c r="G50" s="195">
        <f t="shared" si="35"/>
        <v>0</v>
      </c>
      <c r="H50" s="195">
        <f t="shared" si="35"/>
        <v>0</v>
      </c>
      <c r="I50" s="195">
        <f t="shared" si="35"/>
        <v>0</v>
      </c>
      <c r="J50" s="195">
        <f t="shared" si="35"/>
        <v>0</v>
      </c>
      <c r="K50" s="195">
        <f t="shared" si="35"/>
        <v>0</v>
      </c>
      <c r="L50" s="13"/>
    </row>
    <row r="51" spans="1:12" x14ac:dyDescent="0.3">
      <c r="B51" s="4"/>
      <c r="L51" s="13"/>
    </row>
    <row r="52" spans="1:12" x14ac:dyDescent="0.3">
      <c r="A52" s="97" t="s">
        <v>268</v>
      </c>
      <c r="B52" s="97">
        <v>2018</v>
      </c>
      <c r="C52" s="97">
        <v>2019</v>
      </c>
      <c r="D52" s="97">
        <v>2020</v>
      </c>
      <c r="E52" s="97">
        <v>2021</v>
      </c>
      <c r="F52" s="97">
        <v>2022</v>
      </c>
      <c r="G52" s="119">
        <v>2023</v>
      </c>
      <c r="H52" s="119">
        <v>2024</v>
      </c>
      <c r="I52" s="119">
        <v>2025</v>
      </c>
      <c r="J52" s="119">
        <v>2026</v>
      </c>
      <c r="K52" s="119">
        <v>2027</v>
      </c>
      <c r="L52" s="13"/>
    </row>
    <row r="53" spans="1:12" x14ac:dyDescent="0.3">
      <c r="A53" s="96" t="s">
        <v>183</v>
      </c>
      <c r="B53" s="114">
        <v>2018</v>
      </c>
      <c r="C53" s="114">
        <v>2019</v>
      </c>
      <c r="D53" s="114">
        <v>2020</v>
      </c>
      <c r="E53" s="114">
        <v>2021</v>
      </c>
      <c r="F53" s="114">
        <v>2022</v>
      </c>
      <c r="G53" s="114"/>
      <c r="H53" s="114"/>
      <c r="I53" s="114"/>
      <c r="J53" s="114"/>
      <c r="K53" s="114"/>
      <c r="L53" s="13"/>
    </row>
    <row r="54" spans="1:12" x14ac:dyDescent="0.3">
      <c r="A54" t="s">
        <v>187</v>
      </c>
      <c r="B54" s="111">
        <v>332702</v>
      </c>
      <c r="C54" s="112">
        <v>406350</v>
      </c>
      <c r="D54" s="112">
        <v>513099</v>
      </c>
      <c r="E54" s="112">
        <v>588180</v>
      </c>
      <c r="F54" s="112">
        <v>680073</v>
      </c>
      <c r="G54" s="112">
        <f>+F67</f>
        <v>1252781</v>
      </c>
      <c r="H54" s="112">
        <f t="shared" ref="H54:K54" si="36">+G67</f>
        <v>1264201.3168320365</v>
      </c>
      <c r="I54" s="112">
        <f t="shared" si="36"/>
        <v>1288371.2637604931</v>
      </c>
      <c r="J54" s="112">
        <f t="shared" si="36"/>
        <v>1316758.9937464916</v>
      </c>
      <c r="K54" s="112">
        <f t="shared" si="36"/>
        <v>1355821.6113702175</v>
      </c>
      <c r="L54" s="13"/>
    </row>
    <row r="55" spans="1:12" x14ac:dyDescent="0.3">
      <c r="A55" s="126" t="s">
        <v>259</v>
      </c>
      <c r="B55" s="184">
        <v>138531</v>
      </c>
      <c r="C55" s="187">
        <v>133883</v>
      </c>
      <c r="D55" s="187">
        <v>141728</v>
      </c>
      <c r="E55" s="187">
        <v>185569</v>
      </c>
      <c r="F55" s="187">
        <v>340050</v>
      </c>
      <c r="G55" s="187">
        <v>0</v>
      </c>
      <c r="H55" s="187">
        <v>0</v>
      </c>
      <c r="I55" s="187">
        <v>0</v>
      </c>
      <c r="J55" s="187">
        <v>0</v>
      </c>
      <c r="K55" s="187">
        <v>0</v>
      </c>
      <c r="L55" s="13"/>
    </row>
    <row r="56" spans="1:12" x14ac:dyDescent="0.3">
      <c r="A56" s="126" t="s">
        <v>405</v>
      </c>
      <c r="B56" s="184">
        <v>138531</v>
      </c>
      <c r="C56" s="187">
        <v>133883</v>
      </c>
      <c r="D56" s="187">
        <v>141728</v>
      </c>
      <c r="E56" s="187">
        <v>185569</v>
      </c>
      <c r="F56" s="187">
        <v>340050</v>
      </c>
      <c r="G56" s="187">
        <f>+AVERAGE(B56:F56)</f>
        <v>187952.2</v>
      </c>
      <c r="H56" s="187">
        <f>+AVERAGE(C56:G56)</f>
        <v>197836.44</v>
      </c>
      <c r="I56" s="187">
        <f>+AVERAGE(D56:H56)</f>
        <v>210627.12799999997</v>
      </c>
      <c r="J56" s="187">
        <f>+AVERAGE(E56:I56)</f>
        <v>224406.95359999998</v>
      </c>
      <c r="K56" s="187">
        <f>+AVERAGE(F56:J56)</f>
        <v>232174.54431999996</v>
      </c>
      <c r="L56" s="13"/>
    </row>
    <row r="57" spans="1:12" x14ac:dyDescent="0.3">
      <c r="A57" s="188" t="s">
        <v>249</v>
      </c>
      <c r="B57" s="185"/>
      <c r="C57" s="185"/>
      <c r="D57" s="185"/>
      <c r="E57" s="186"/>
      <c r="F57" s="186"/>
      <c r="G57" s="186"/>
      <c r="H57" s="186"/>
      <c r="I57" s="186"/>
      <c r="J57" s="186"/>
      <c r="K57" s="186"/>
      <c r="L57" s="13"/>
    </row>
    <row r="58" spans="1:12" x14ac:dyDescent="0.3">
      <c r="A58" s="189" t="s">
        <v>260</v>
      </c>
      <c r="B58" s="185" t="s">
        <v>82</v>
      </c>
      <c r="C58" s="185">
        <v>-5711</v>
      </c>
      <c r="D58" s="185">
        <v>-22441</v>
      </c>
      <c r="E58" s="185" t="s">
        <v>82</v>
      </c>
      <c r="F58" s="185" t="s">
        <v>82</v>
      </c>
      <c r="G58" s="185" t="s">
        <v>82</v>
      </c>
      <c r="H58" s="185" t="s">
        <v>82</v>
      </c>
      <c r="I58" s="185" t="s">
        <v>82</v>
      </c>
      <c r="J58" s="185" t="s">
        <v>82</v>
      </c>
      <c r="K58" s="185" t="s">
        <v>82</v>
      </c>
      <c r="L58" s="13"/>
    </row>
    <row r="59" spans="1:12" x14ac:dyDescent="0.3">
      <c r="A59" s="189" t="s">
        <v>261</v>
      </c>
      <c r="B59" s="185" t="s">
        <v>82</v>
      </c>
      <c r="C59" s="185">
        <v>6082</v>
      </c>
      <c r="D59" s="185">
        <v>22100</v>
      </c>
      <c r="E59" s="185" t="s">
        <v>82</v>
      </c>
      <c r="F59" s="185" t="s">
        <v>82</v>
      </c>
      <c r="G59" s="185" t="s">
        <v>82</v>
      </c>
      <c r="H59" s="185" t="s">
        <v>82</v>
      </c>
      <c r="I59" s="185" t="s">
        <v>82</v>
      </c>
      <c r="J59" s="185" t="s">
        <v>82</v>
      </c>
      <c r="K59" s="185" t="s">
        <v>82</v>
      </c>
      <c r="L59" s="13"/>
    </row>
    <row r="60" spans="1:12" x14ac:dyDescent="0.3">
      <c r="A60" s="188" t="s">
        <v>253</v>
      </c>
      <c r="B60" s="185"/>
      <c r="C60" s="185"/>
      <c r="D60" s="185"/>
      <c r="E60" s="185"/>
      <c r="F60" s="185"/>
      <c r="G60" s="185"/>
      <c r="H60" s="185"/>
      <c r="I60" s="185"/>
      <c r="J60" s="185"/>
      <c r="K60" s="185"/>
      <c r="L60" s="13"/>
    </row>
    <row r="61" spans="1:12" x14ac:dyDescent="0.3">
      <c r="A61" s="116" t="s">
        <v>267</v>
      </c>
      <c r="B61" s="185">
        <v>-338</v>
      </c>
      <c r="C61" s="185" t="s">
        <v>82</v>
      </c>
      <c r="D61" s="185" t="s">
        <v>82</v>
      </c>
      <c r="E61" s="185" t="s">
        <v>82</v>
      </c>
      <c r="F61" s="185" t="s">
        <v>82</v>
      </c>
      <c r="G61" s="185" t="s">
        <v>82</v>
      </c>
      <c r="H61" s="185" t="s">
        <v>82</v>
      </c>
      <c r="I61" s="185" t="s">
        <v>82</v>
      </c>
      <c r="J61" s="185" t="s">
        <v>82</v>
      </c>
      <c r="K61" s="185" t="s">
        <v>82</v>
      </c>
      <c r="L61" s="13"/>
    </row>
    <row r="62" spans="1:12" x14ac:dyDescent="0.3">
      <c r="A62" s="189" t="s">
        <v>261</v>
      </c>
      <c r="B62" s="185" t="s">
        <v>82</v>
      </c>
      <c r="C62" s="185" t="s">
        <v>82</v>
      </c>
      <c r="D62" s="185" t="s">
        <v>82</v>
      </c>
      <c r="E62" s="185" t="s">
        <v>82</v>
      </c>
      <c r="F62" s="185" t="s">
        <v>82</v>
      </c>
      <c r="G62" s="185" t="s">
        <v>82</v>
      </c>
      <c r="H62" s="185" t="s">
        <v>82</v>
      </c>
      <c r="I62" s="185" t="s">
        <v>82</v>
      </c>
      <c r="J62" s="185" t="s">
        <v>82</v>
      </c>
      <c r="K62" s="185" t="s">
        <v>82</v>
      </c>
      <c r="L62" s="13"/>
    </row>
    <row r="63" spans="1:12" x14ac:dyDescent="0.3">
      <c r="A63" s="116" t="s">
        <v>254</v>
      </c>
      <c r="B63" s="185">
        <v>4809</v>
      </c>
      <c r="C63" s="186">
        <v>56521</v>
      </c>
      <c r="D63" s="186">
        <v>40809</v>
      </c>
      <c r="E63" s="186">
        <v>35827</v>
      </c>
      <c r="F63" s="186">
        <v>394959</v>
      </c>
      <c r="G63" s="186">
        <v>0</v>
      </c>
      <c r="H63" s="186">
        <v>0</v>
      </c>
      <c r="I63" s="186">
        <v>0</v>
      </c>
      <c r="J63" s="186">
        <v>0</v>
      </c>
      <c r="K63" s="186">
        <v>0</v>
      </c>
      <c r="L63" s="13"/>
    </row>
    <row r="64" spans="1:12" x14ac:dyDescent="0.3">
      <c r="A64" s="116" t="s">
        <v>395</v>
      </c>
      <c r="B64" s="185">
        <v>4809</v>
      </c>
      <c r="C64" s="186">
        <v>56521</v>
      </c>
      <c r="D64" s="186">
        <v>40809</v>
      </c>
      <c r="E64" s="186">
        <v>35827</v>
      </c>
      <c r="F64" s="186">
        <f>+AVERAGE(B64:E64)</f>
        <v>34491.5</v>
      </c>
      <c r="G64" s="186">
        <f>+AVERAGE(B64:F64)</f>
        <v>34491.5</v>
      </c>
      <c r="H64" s="186">
        <f t="shared" ref="H64:K64" si="37">+AVERAGE(C64:G64)</f>
        <v>40428</v>
      </c>
      <c r="I64" s="186">
        <f t="shared" si="37"/>
        <v>37209.4</v>
      </c>
      <c r="J64" s="186">
        <f t="shared" si="37"/>
        <v>36489.479999999996</v>
      </c>
      <c r="K64" s="186">
        <f t="shared" si="37"/>
        <v>36621.976000000002</v>
      </c>
      <c r="L64" s="13"/>
    </row>
    <row r="65" spans="1:12" x14ac:dyDescent="0.3">
      <c r="A65" s="93" t="s">
        <v>262</v>
      </c>
      <c r="B65" s="235">
        <v>-69354</v>
      </c>
      <c r="C65" s="118">
        <v>-84026</v>
      </c>
      <c r="D65" s="118">
        <v>-107115</v>
      </c>
      <c r="E65" s="118">
        <v>-129503</v>
      </c>
      <c r="F65" s="118">
        <v>-162301</v>
      </c>
      <c r="G65" s="118">
        <f>SUM(G54:G64)*G66</f>
        <v>-211023.38316796356</v>
      </c>
      <c r="H65" s="118">
        <f t="shared" ref="H65:K65" si="38">SUM(H54:H64)*H66</f>
        <v>-214094.4930715432</v>
      </c>
      <c r="I65" s="118">
        <f t="shared" si="38"/>
        <v>-219448.79801400143</v>
      </c>
      <c r="J65" s="118">
        <f t="shared" si="38"/>
        <v>-221833.81597627391</v>
      </c>
      <c r="K65" s="118">
        <f t="shared" si="38"/>
        <v>-222148.60215921118</v>
      </c>
      <c r="L65" s="13"/>
    </row>
    <row r="66" spans="1:12" x14ac:dyDescent="0.3">
      <c r="A66" s="93" t="s">
        <v>404</v>
      </c>
      <c r="B66" s="192">
        <f>+B65/(B67-B65)</f>
        <v>-0.14579234145603148</v>
      </c>
      <c r="C66" s="192">
        <f t="shared" ref="C66:F66" si="39">+C65/(C67-C65)</f>
        <v>-0.1407176051915428</v>
      </c>
      <c r="D66" s="192">
        <f t="shared" si="39"/>
        <v>-0.15405691109529049</v>
      </c>
      <c r="E66" s="192">
        <f t="shared" si="39"/>
        <v>-0.15996398114568613</v>
      </c>
      <c r="F66" s="192">
        <f t="shared" si="39"/>
        <v>-0.11469370679578993</v>
      </c>
      <c r="G66" s="191">
        <f>+AVERAGE(B66:F66)</f>
        <v>-0.14304490913686815</v>
      </c>
      <c r="H66" s="191">
        <f t="shared" ref="H66:K66" si="40">+AVERAGE(C66:G66)</f>
        <v>-0.1424954226730355</v>
      </c>
      <c r="I66" s="191">
        <f t="shared" si="40"/>
        <v>-0.14285098616933406</v>
      </c>
      <c r="J66" s="191">
        <f t="shared" si="40"/>
        <v>-0.14060980118414274</v>
      </c>
      <c r="K66" s="191">
        <f t="shared" si="40"/>
        <v>-0.13673896519183409</v>
      </c>
      <c r="L66" s="13"/>
    </row>
    <row r="67" spans="1:12" x14ac:dyDescent="0.3">
      <c r="A67" t="s">
        <v>196</v>
      </c>
      <c r="B67" s="111">
        <f>SUM(B54:B65)-B64-B56</f>
        <v>406350</v>
      </c>
      <c r="C67" s="111">
        <f t="shared" ref="C67:F67" si="41">SUM(C54:C65)-C64-C56</f>
        <v>513099</v>
      </c>
      <c r="D67" s="111">
        <f t="shared" si="41"/>
        <v>588180</v>
      </c>
      <c r="E67" s="111">
        <f t="shared" si="41"/>
        <v>680073</v>
      </c>
      <c r="F67" s="111">
        <f t="shared" si="41"/>
        <v>1252781</v>
      </c>
      <c r="G67" s="111">
        <f>SUM(G54:G65)</f>
        <v>1264201.3168320365</v>
      </c>
      <c r="H67" s="111">
        <f t="shared" ref="H67:K67" si="42">SUM(H54:H65)</f>
        <v>1288371.2637604931</v>
      </c>
      <c r="I67" s="111">
        <f t="shared" si="42"/>
        <v>1316758.9937464916</v>
      </c>
      <c r="J67" s="111">
        <f t="shared" si="42"/>
        <v>1355821.6113702175</v>
      </c>
      <c r="K67" s="111">
        <f t="shared" si="42"/>
        <v>1402469.5295310062</v>
      </c>
      <c r="L67" s="13"/>
    </row>
    <row r="68" spans="1:12" x14ac:dyDescent="0.3">
      <c r="A68" s="96" t="s">
        <v>263</v>
      </c>
      <c r="B68" s="111"/>
      <c r="C68" s="112"/>
      <c r="D68" s="112"/>
      <c r="E68" s="112"/>
      <c r="F68" s="112"/>
      <c r="G68" s="112"/>
      <c r="H68" s="112"/>
      <c r="I68" s="112"/>
      <c r="J68" s="112"/>
      <c r="K68" s="112"/>
      <c r="L68" s="13"/>
    </row>
    <row r="69" spans="1:12" x14ac:dyDescent="0.3">
      <c r="A69" t="s">
        <v>264</v>
      </c>
      <c r="B69" s="111">
        <v>1171787</v>
      </c>
      <c r="C69" s="112">
        <v>1462130</v>
      </c>
      <c r="D69" s="112">
        <v>1698934</v>
      </c>
      <c r="E69" s="112">
        <v>1989514</v>
      </c>
      <c r="F69" s="112">
        <v>3402635</v>
      </c>
      <c r="G69" s="112">
        <f>+G71-G70</f>
        <v>3625078.7</v>
      </c>
      <c r="H69" s="112">
        <f t="shared" ref="H69:K69" si="43">+H71-H70</f>
        <v>3863343.1399999997</v>
      </c>
      <c r="I69" s="112">
        <f t="shared" si="43"/>
        <v>4111179.6679999996</v>
      </c>
      <c r="J69" s="112">
        <f t="shared" si="43"/>
        <v>4372076.1015999988</v>
      </c>
      <c r="K69" s="112">
        <f t="shared" si="43"/>
        <v>4640872.6219199989</v>
      </c>
      <c r="L69" s="13"/>
    </row>
    <row r="70" spans="1:12" x14ac:dyDescent="0.3">
      <c r="A70" t="s">
        <v>265</v>
      </c>
      <c r="B70" s="111">
        <v>-765437</v>
      </c>
      <c r="C70" s="112">
        <v>-949031</v>
      </c>
      <c r="D70" s="112">
        <v>-1110754</v>
      </c>
      <c r="E70" s="112">
        <v>-1309441</v>
      </c>
      <c r="F70" s="112">
        <v>-2149854</v>
      </c>
      <c r="G70" s="112">
        <f>+F70+G65</f>
        <v>-2360877.3831679635</v>
      </c>
      <c r="H70" s="112">
        <f t="shared" ref="H70:K70" si="44">+G70+H65</f>
        <v>-2574971.8762395065</v>
      </c>
      <c r="I70" s="112">
        <f t="shared" si="44"/>
        <v>-2794420.674253508</v>
      </c>
      <c r="J70" s="112">
        <f t="shared" si="44"/>
        <v>-3016254.4902297817</v>
      </c>
      <c r="K70" s="112">
        <f t="shared" si="44"/>
        <v>-3238403.0923889931</v>
      </c>
      <c r="L70" s="13"/>
    </row>
    <row r="71" spans="1:12" x14ac:dyDescent="0.3">
      <c r="A71" s="81" t="s">
        <v>204</v>
      </c>
      <c r="B71" s="113">
        <f>SUM(B69:B70)</f>
        <v>406350</v>
      </c>
      <c r="C71" s="113">
        <f>SUM(C69:C70)</f>
        <v>513099</v>
      </c>
      <c r="D71" s="113">
        <f t="shared" ref="D71" si="45">SUM(D69:D70)</f>
        <v>588180</v>
      </c>
      <c r="E71" s="113">
        <f t="shared" ref="E71" si="46">SUM(E69:E70)</f>
        <v>680073</v>
      </c>
      <c r="F71" s="113">
        <f t="shared" ref="F71" si="47">SUM(F69:F70)</f>
        <v>1252781</v>
      </c>
      <c r="G71" s="113">
        <f>+G67</f>
        <v>1264201.3168320365</v>
      </c>
      <c r="H71" s="113">
        <f t="shared" ref="H71:K71" si="48">+H67</f>
        <v>1288371.2637604931</v>
      </c>
      <c r="I71" s="113">
        <f t="shared" si="48"/>
        <v>1316758.9937464916</v>
      </c>
      <c r="J71" s="113">
        <f t="shared" si="48"/>
        <v>1355821.6113702175</v>
      </c>
      <c r="K71" s="113">
        <f t="shared" si="48"/>
        <v>1402469.5295310062</v>
      </c>
      <c r="L71" s="13"/>
    </row>
    <row r="72" spans="1:12" x14ac:dyDescent="0.3">
      <c r="L72" s="13"/>
    </row>
    <row r="73" spans="1:12" x14ac:dyDescent="0.3">
      <c r="B73" s="195">
        <f>+'18ppe'!F37</f>
        <v>406350</v>
      </c>
      <c r="C73" s="195">
        <f>+'19ppe'!E25</f>
        <v>513099</v>
      </c>
      <c r="D73" s="195">
        <f>+'19ppe'!E37</f>
        <v>588180</v>
      </c>
      <c r="E73" s="195">
        <f>+'22ppe'!E23</f>
        <v>680073</v>
      </c>
      <c r="F73" s="195">
        <f>+'22ppe'!E38</f>
        <v>1252781</v>
      </c>
      <c r="G73" s="195">
        <f>+G71</f>
        <v>1264201.3168320365</v>
      </c>
      <c r="H73" s="195">
        <f t="shared" ref="H73:K73" si="49">+H71</f>
        <v>1288371.2637604931</v>
      </c>
      <c r="I73" s="195">
        <f t="shared" si="49"/>
        <v>1316758.9937464916</v>
      </c>
      <c r="J73" s="195">
        <f t="shared" si="49"/>
        <v>1355821.6113702175</v>
      </c>
      <c r="K73" s="195">
        <f t="shared" si="49"/>
        <v>1402469.5295310062</v>
      </c>
      <c r="L73" s="13"/>
    </row>
    <row r="74" spans="1:12" x14ac:dyDescent="0.3">
      <c r="B74" s="194">
        <f>+B73-B71</f>
        <v>0</v>
      </c>
      <c r="C74" s="194">
        <f t="shared" ref="C74:K74" si="50">+C73-C71</f>
        <v>0</v>
      </c>
      <c r="D74" s="194">
        <f t="shared" si="50"/>
        <v>0</v>
      </c>
      <c r="E74" s="194">
        <f t="shared" si="50"/>
        <v>0</v>
      </c>
      <c r="F74" s="194">
        <f t="shared" si="50"/>
        <v>0</v>
      </c>
      <c r="G74" s="194">
        <f t="shared" si="50"/>
        <v>0</v>
      </c>
      <c r="H74" s="194">
        <f t="shared" si="50"/>
        <v>0</v>
      </c>
      <c r="I74" s="194">
        <f t="shared" si="50"/>
        <v>0</v>
      </c>
      <c r="J74" s="194">
        <f t="shared" si="50"/>
        <v>0</v>
      </c>
      <c r="K74" s="194">
        <f t="shared" si="50"/>
        <v>0</v>
      </c>
      <c r="L74" s="13"/>
    </row>
    <row r="75" spans="1:12" x14ac:dyDescent="0.3">
      <c r="B75" s="195">
        <f>+B67-B73</f>
        <v>0</v>
      </c>
      <c r="C75" s="195">
        <f t="shared" ref="C75:K75" si="51">+C67-C73</f>
        <v>0</v>
      </c>
      <c r="D75" s="195">
        <f t="shared" si="51"/>
        <v>0</v>
      </c>
      <c r="E75" s="195">
        <f t="shared" si="51"/>
        <v>0</v>
      </c>
      <c r="F75" s="195">
        <f t="shared" si="51"/>
        <v>0</v>
      </c>
      <c r="G75" s="195">
        <f t="shared" si="51"/>
        <v>0</v>
      </c>
      <c r="H75" s="195">
        <f t="shared" si="51"/>
        <v>0</v>
      </c>
      <c r="I75" s="195">
        <f t="shared" si="51"/>
        <v>0</v>
      </c>
      <c r="J75" s="195">
        <f t="shared" si="51"/>
        <v>0</v>
      </c>
      <c r="K75" s="195">
        <f t="shared" si="51"/>
        <v>0</v>
      </c>
      <c r="L75" s="13"/>
    </row>
    <row r="76" spans="1:12" x14ac:dyDescent="0.3">
      <c r="L76" s="13"/>
    </row>
    <row r="77" spans="1:12" x14ac:dyDescent="0.3">
      <c r="A77" s="97" t="s">
        <v>201</v>
      </c>
      <c r="B77" s="97">
        <v>2018</v>
      </c>
      <c r="C77" s="97">
        <v>2019</v>
      </c>
      <c r="D77" s="97">
        <v>2020</v>
      </c>
      <c r="E77" s="97">
        <v>2021</v>
      </c>
      <c r="F77" s="97">
        <v>2022</v>
      </c>
      <c r="G77" s="119">
        <v>2023</v>
      </c>
      <c r="H77" s="119">
        <v>2024</v>
      </c>
      <c r="I77" s="119">
        <v>2025</v>
      </c>
      <c r="J77" s="119">
        <v>2026</v>
      </c>
      <c r="K77" s="119">
        <v>2027</v>
      </c>
      <c r="L77" s="13"/>
    </row>
    <row r="78" spans="1:12" x14ac:dyDescent="0.3">
      <c r="A78" s="96" t="s">
        <v>183</v>
      </c>
      <c r="B78" s="114">
        <v>2018</v>
      </c>
      <c r="C78" s="114">
        <v>2019</v>
      </c>
      <c r="D78" s="114">
        <v>2020</v>
      </c>
      <c r="E78" s="114">
        <v>2021</v>
      </c>
      <c r="F78" s="114">
        <v>2022</v>
      </c>
      <c r="G78" s="114"/>
      <c r="H78" s="114"/>
      <c r="I78" s="114"/>
      <c r="J78" s="114"/>
      <c r="K78" s="114"/>
      <c r="L78" s="13"/>
    </row>
    <row r="79" spans="1:12" x14ac:dyDescent="0.3">
      <c r="A79" t="s">
        <v>187</v>
      </c>
      <c r="B79" s="111">
        <v>20017</v>
      </c>
      <c r="C79" s="112">
        <v>19994</v>
      </c>
      <c r="D79" s="112">
        <v>19473</v>
      </c>
      <c r="E79" s="112">
        <v>16045</v>
      </c>
      <c r="F79" s="112">
        <v>14517</v>
      </c>
      <c r="G79" s="112">
        <f>+F92</f>
        <v>17798</v>
      </c>
      <c r="H79" s="112">
        <f t="shared" ref="H79:K79" si="52">+G92</f>
        <v>16848.120663739192</v>
      </c>
      <c r="I79" s="112">
        <f t="shared" si="52"/>
        <v>15847.797246143382</v>
      </c>
      <c r="J79" s="112">
        <f t="shared" si="52"/>
        <v>14791.446107851116</v>
      </c>
      <c r="K79" s="112">
        <f t="shared" si="52"/>
        <v>14290.625872598906</v>
      </c>
      <c r="L79" s="13"/>
    </row>
    <row r="80" spans="1:12" x14ac:dyDescent="0.3">
      <c r="A80" s="126" t="s">
        <v>259</v>
      </c>
      <c r="B80" s="184">
        <v>9066</v>
      </c>
      <c r="C80" s="187">
        <v>5739</v>
      </c>
      <c r="D80" s="187">
        <v>2270</v>
      </c>
      <c r="E80" s="187">
        <v>3186</v>
      </c>
      <c r="F80" s="187">
        <v>3844</v>
      </c>
      <c r="G80" s="187">
        <v>0</v>
      </c>
      <c r="H80" s="187">
        <v>0</v>
      </c>
      <c r="I80" s="187">
        <v>0</v>
      </c>
      <c r="J80" s="187">
        <v>0</v>
      </c>
      <c r="K80" s="187">
        <v>0</v>
      </c>
      <c r="L80" s="13"/>
    </row>
    <row r="81" spans="1:12" x14ac:dyDescent="0.3">
      <c r="A81" s="126" t="s">
        <v>405</v>
      </c>
      <c r="B81" s="184">
        <v>9066</v>
      </c>
      <c r="C81" s="187">
        <v>5739</v>
      </c>
      <c r="D81" s="187">
        <v>2270</v>
      </c>
      <c r="E81" s="187">
        <v>3186</v>
      </c>
      <c r="F81" s="187">
        <v>3844</v>
      </c>
      <c r="G81" s="187">
        <f>+AVERAGE(B81:F81)</f>
        <v>4821</v>
      </c>
      <c r="H81" s="187">
        <f t="shared" ref="H81:K81" si="53">+AVERAGE(C81:G81)</f>
        <v>3972</v>
      </c>
      <c r="I81" s="187">
        <f t="shared" si="53"/>
        <v>3618.6</v>
      </c>
      <c r="J81" s="187">
        <f t="shared" si="53"/>
        <v>3888.3199999999997</v>
      </c>
      <c r="K81" s="187">
        <f t="shared" si="53"/>
        <v>4028.7839999999997</v>
      </c>
      <c r="L81" s="13"/>
    </row>
    <row r="82" spans="1:12" x14ac:dyDescent="0.3">
      <c r="A82" s="188" t="s">
        <v>249</v>
      </c>
      <c r="B82" s="185"/>
      <c r="C82" s="185"/>
      <c r="D82" s="185"/>
      <c r="E82" s="186"/>
      <c r="F82" s="186"/>
      <c r="G82" s="186"/>
      <c r="H82" s="186"/>
      <c r="I82" s="186"/>
      <c r="J82" s="186"/>
      <c r="K82" s="186"/>
      <c r="L82" s="13"/>
    </row>
    <row r="83" spans="1:12" x14ac:dyDescent="0.3">
      <c r="A83" s="189" t="s">
        <v>260</v>
      </c>
      <c r="B83" s="185" t="s">
        <v>82</v>
      </c>
      <c r="C83" s="185">
        <v>-259</v>
      </c>
      <c r="D83" s="185" t="s">
        <v>82</v>
      </c>
      <c r="E83" s="185" t="s">
        <v>82</v>
      </c>
      <c r="F83" s="185" t="s">
        <v>82</v>
      </c>
      <c r="G83" s="185" t="s">
        <v>82</v>
      </c>
      <c r="H83" s="185" t="s">
        <v>82</v>
      </c>
      <c r="I83" s="185" t="s">
        <v>82</v>
      </c>
      <c r="J83" s="185" t="s">
        <v>82</v>
      </c>
      <c r="K83" s="185" t="s">
        <v>82</v>
      </c>
      <c r="L83" s="13"/>
    </row>
    <row r="84" spans="1:12" x14ac:dyDescent="0.3">
      <c r="A84" s="189" t="s">
        <v>261</v>
      </c>
      <c r="B84" s="185" t="s">
        <v>82</v>
      </c>
      <c r="C84" s="185">
        <v>-14</v>
      </c>
      <c r="D84" s="185" t="s">
        <v>82</v>
      </c>
      <c r="E84" s="185" t="s">
        <v>82</v>
      </c>
      <c r="F84" s="185" t="s">
        <v>82</v>
      </c>
      <c r="G84" s="185" t="s">
        <v>82</v>
      </c>
      <c r="H84" s="185" t="s">
        <v>82</v>
      </c>
      <c r="I84" s="185" t="s">
        <v>82</v>
      </c>
      <c r="J84" s="185" t="s">
        <v>82</v>
      </c>
      <c r="K84" s="185" t="s">
        <v>82</v>
      </c>
      <c r="L84" s="13"/>
    </row>
    <row r="85" spans="1:12" x14ac:dyDescent="0.3">
      <c r="A85" s="188" t="s">
        <v>253</v>
      </c>
      <c r="B85" s="185"/>
      <c r="C85" s="185"/>
      <c r="D85" s="185"/>
      <c r="E85" s="185"/>
      <c r="F85" s="185"/>
      <c r="G85" s="185"/>
      <c r="H85" s="185"/>
      <c r="I85" s="185"/>
      <c r="J85" s="185"/>
      <c r="K85" s="185"/>
      <c r="L85" s="13"/>
    </row>
    <row r="86" spans="1:12" x14ac:dyDescent="0.3">
      <c r="A86" s="116" t="s">
        <v>267</v>
      </c>
      <c r="B86" s="185">
        <v>238</v>
      </c>
      <c r="C86" s="185" t="s">
        <v>82</v>
      </c>
      <c r="D86" s="185" t="s">
        <v>82</v>
      </c>
      <c r="E86" s="185" t="s">
        <v>82</v>
      </c>
      <c r="F86" s="185" t="s">
        <v>82</v>
      </c>
      <c r="G86" s="185" t="s">
        <v>82</v>
      </c>
      <c r="H86" s="185" t="s">
        <v>82</v>
      </c>
      <c r="I86" s="185" t="s">
        <v>82</v>
      </c>
      <c r="J86" s="185" t="s">
        <v>82</v>
      </c>
      <c r="K86" s="185" t="s">
        <v>82</v>
      </c>
      <c r="L86" s="13"/>
    </row>
    <row r="87" spans="1:12" x14ac:dyDescent="0.3">
      <c r="A87" s="189" t="s">
        <v>261</v>
      </c>
      <c r="B87" s="185" t="s">
        <v>82</v>
      </c>
      <c r="C87" s="185" t="s">
        <v>82</v>
      </c>
      <c r="D87" s="185" t="s">
        <v>82</v>
      </c>
      <c r="E87" s="185" t="s">
        <v>82</v>
      </c>
      <c r="F87" s="185" t="s">
        <v>82</v>
      </c>
      <c r="G87" s="185" t="s">
        <v>82</v>
      </c>
      <c r="H87" s="185" t="s">
        <v>82</v>
      </c>
      <c r="I87" s="185" t="s">
        <v>82</v>
      </c>
      <c r="J87" s="185" t="s">
        <v>82</v>
      </c>
      <c r="K87" s="185" t="s">
        <v>82</v>
      </c>
      <c r="L87" s="13"/>
    </row>
    <row r="88" spans="1:12" x14ac:dyDescent="0.3">
      <c r="A88" s="116" t="s">
        <v>254</v>
      </c>
      <c r="B88" s="185">
        <v>224</v>
      </c>
      <c r="C88" s="186">
        <v>2511</v>
      </c>
      <c r="D88" s="186">
        <v>1211</v>
      </c>
      <c r="E88" s="186">
        <v>732</v>
      </c>
      <c r="F88" s="186">
        <v>5623</v>
      </c>
      <c r="G88" s="186">
        <v>0</v>
      </c>
      <c r="H88" s="186">
        <v>0</v>
      </c>
      <c r="I88" s="186">
        <v>0</v>
      </c>
      <c r="J88" s="186">
        <v>0</v>
      </c>
      <c r="K88" s="186">
        <v>0</v>
      </c>
      <c r="L88" s="13"/>
    </row>
    <row r="89" spans="1:12" x14ac:dyDescent="0.3">
      <c r="A89" s="116" t="s">
        <v>395</v>
      </c>
      <c r="B89" s="185">
        <v>224</v>
      </c>
      <c r="C89" s="186">
        <v>2511</v>
      </c>
      <c r="D89" s="186">
        <v>1211</v>
      </c>
      <c r="E89" s="186">
        <v>732</v>
      </c>
      <c r="F89" s="186">
        <f>+AVERAGE(B89:E89)</f>
        <v>1169.5</v>
      </c>
      <c r="G89" s="186">
        <f>+AVERAGE(B89:F89)</f>
        <v>1169.5</v>
      </c>
      <c r="H89" s="186">
        <f t="shared" ref="H89:K89" si="54">+AVERAGE(C89:G89)</f>
        <v>1358.6</v>
      </c>
      <c r="I89" s="186">
        <f t="shared" si="54"/>
        <v>1128.1200000000001</v>
      </c>
      <c r="J89" s="186">
        <f t="shared" si="54"/>
        <v>1111.5440000000001</v>
      </c>
      <c r="K89" s="186">
        <f t="shared" si="54"/>
        <v>1187.4528</v>
      </c>
      <c r="L89" s="13"/>
    </row>
    <row r="90" spans="1:12" x14ac:dyDescent="0.3">
      <c r="A90" s="93" t="s">
        <v>262</v>
      </c>
      <c r="B90" s="235">
        <v>-9551</v>
      </c>
      <c r="C90" s="118">
        <v>-8498</v>
      </c>
      <c r="D90" s="118">
        <v>-6909</v>
      </c>
      <c r="E90" s="118">
        <v>-5445</v>
      </c>
      <c r="F90" s="118">
        <v>-6186</v>
      </c>
      <c r="G90" s="118">
        <f>SUM(G79:G89)*G91</f>
        <v>-6940.3793362608085</v>
      </c>
      <c r="H90" s="118">
        <f t="shared" ref="H90:K90" si="55">SUM(H79:H89)*H91</f>
        <v>-6330.9234175958081</v>
      </c>
      <c r="I90" s="118">
        <f t="shared" si="55"/>
        <v>-5803.0711382922627</v>
      </c>
      <c r="J90" s="118">
        <f t="shared" si="55"/>
        <v>-5500.6842352522099</v>
      </c>
      <c r="K90" s="118">
        <f t="shared" si="55"/>
        <v>-5441.7812416602255</v>
      </c>
      <c r="L90" s="13"/>
    </row>
    <row r="91" spans="1:12" x14ac:dyDescent="0.3">
      <c r="A91" s="93" t="s">
        <v>404</v>
      </c>
      <c r="B91" s="192">
        <f>+B90/(B92-B90)</f>
        <v>-0.32326958876290407</v>
      </c>
      <c r="C91" s="192">
        <f t="shared" ref="C91:F91" si="56">+C90/(C92-C90)</f>
        <v>-0.30381466518894568</v>
      </c>
      <c r="D91" s="192">
        <f t="shared" si="56"/>
        <v>-0.30099329092968546</v>
      </c>
      <c r="E91" s="192">
        <f t="shared" si="56"/>
        <v>-0.2727682596934175</v>
      </c>
      <c r="F91" s="192">
        <f t="shared" si="56"/>
        <v>-0.25792194796531021</v>
      </c>
      <c r="G91" s="191">
        <f>+AVERAGE(B91:F91)</f>
        <v>-0.29175355050805257</v>
      </c>
      <c r="H91" s="191">
        <f t="shared" ref="H91:K91" si="57">+AVERAGE(C91:G91)</f>
        <v>-0.28545034285708232</v>
      </c>
      <c r="I91" s="191">
        <f t="shared" si="57"/>
        <v>-0.2817774783907096</v>
      </c>
      <c r="J91" s="191">
        <f t="shared" si="57"/>
        <v>-0.27793431588291445</v>
      </c>
      <c r="K91" s="191">
        <f t="shared" si="57"/>
        <v>-0.2789675271208138</v>
      </c>
      <c r="L91" s="13"/>
    </row>
    <row r="92" spans="1:12" x14ac:dyDescent="0.3">
      <c r="A92" t="s">
        <v>196</v>
      </c>
      <c r="B92" s="111">
        <f>SUM(B79:B90)-B89-B81</f>
        <v>19994</v>
      </c>
      <c r="C92" s="111">
        <f t="shared" ref="C92:F92" si="58">SUM(C79:C90)-C89-C81</f>
        <v>19473</v>
      </c>
      <c r="D92" s="111">
        <f t="shared" si="58"/>
        <v>16045</v>
      </c>
      <c r="E92" s="111">
        <f>SUM(E79:E90)-E89-E81-1</f>
        <v>14517</v>
      </c>
      <c r="F92" s="111">
        <f t="shared" si="58"/>
        <v>17798</v>
      </c>
      <c r="G92" s="111">
        <f t="shared" ref="G92:K92" si="59">SUM(G79:G90)</f>
        <v>16848.120663739192</v>
      </c>
      <c r="H92" s="111">
        <f t="shared" si="59"/>
        <v>15847.797246143382</v>
      </c>
      <c r="I92" s="111">
        <f t="shared" si="59"/>
        <v>14791.446107851116</v>
      </c>
      <c r="J92" s="111">
        <f t="shared" si="59"/>
        <v>14290.625872598906</v>
      </c>
      <c r="K92" s="111">
        <f t="shared" si="59"/>
        <v>14065.081430938681</v>
      </c>
      <c r="L92" s="13"/>
    </row>
    <row r="93" spans="1:12" x14ac:dyDescent="0.3">
      <c r="A93" s="96" t="s">
        <v>263</v>
      </c>
      <c r="B93" s="111"/>
      <c r="C93" s="112"/>
      <c r="D93" s="112"/>
      <c r="E93" s="112"/>
      <c r="F93" s="112"/>
      <c r="G93" s="112"/>
      <c r="H93" s="112"/>
      <c r="I93" s="112"/>
      <c r="J93" s="112"/>
      <c r="K93" s="112"/>
      <c r="L93" s="13"/>
    </row>
    <row r="94" spans="1:12" x14ac:dyDescent="0.3">
      <c r="A94" t="s">
        <v>264</v>
      </c>
      <c r="B94" s="111">
        <v>191946</v>
      </c>
      <c r="C94" s="112">
        <v>223230</v>
      </c>
      <c r="D94" s="112">
        <v>242535</v>
      </c>
      <c r="E94" s="112">
        <v>259207</v>
      </c>
      <c r="F94" s="112">
        <v>384341</v>
      </c>
      <c r="G94" s="112">
        <f>+G96-G95</f>
        <v>390331.5</v>
      </c>
      <c r="H94" s="112">
        <f t="shared" ref="H94:K94" si="60">+H96-H95</f>
        <v>395662.1</v>
      </c>
      <c r="I94" s="112">
        <f t="shared" si="60"/>
        <v>400408.81999999995</v>
      </c>
      <c r="J94" s="112">
        <f t="shared" si="60"/>
        <v>405408.68399999995</v>
      </c>
      <c r="K94" s="112">
        <f t="shared" si="60"/>
        <v>410624.92079999996</v>
      </c>
      <c r="L94" s="13"/>
    </row>
    <row r="95" spans="1:12" x14ac:dyDescent="0.3">
      <c r="A95" t="s">
        <v>265</v>
      </c>
      <c r="B95" s="111">
        <v>-171952</v>
      </c>
      <c r="C95" s="112">
        <v>-203757</v>
      </c>
      <c r="D95" s="112">
        <v>-226490</v>
      </c>
      <c r="E95" s="112">
        <v>-244690</v>
      </c>
      <c r="F95" s="112">
        <v>-366543</v>
      </c>
      <c r="G95" s="112">
        <f>+F95+G90</f>
        <v>-373483.37933626078</v>
      </c>
      <c r="H95" s="112">
        <f t="shared" ref="H95:K95" si="61">+G95+H90</f>
        <v>-379814.30275385658</v>
      </c>
      <c r="I95" s="112">
        <f t="shared" si="61"/>
        <v>-385617.37389214884</v>
      </c>
      <c r="J95" s="112">
        <f t="shared" si="61"/>
        <v>-391118.05812740105</v>
      </c>
      <c r="K95" s="112">
        <f t="shared" si="61"/>
        <v>-396559.83936906129</v>
      </c>
      <c r="L95" s="13"/>
    </row>
    <row r="96" spans="1:12" x14ac:dyDescent="0.3">
      <c r="A96" s="81" t="s">
        <v>204</v>
      </c>
      <c r="B96" s="113">
        <f>SUM(B94:B95)</f>
        <v>19994</v>
      </c>
      <c r="C96" s="113">
        <f>SUM(C94:C95)</f>
        <v>19473</v>
      </c>
      <c r="D96" s="113">
        <f t="shared" ref="D96" si="62">SUM(D94:D95)</f>
        <v>16045</v>
      </c>
      <c r="E96" s="113">
        <f t="shared" ref="E96" si="63">SUM(E94:E95)</f>
        <v>14517</v>
      </c>
      <c r="F96" s="113">
        <f t="shared" ref="F96" si="64">SUM(F94:F95)</f>
        <v>17798</v>
      </c>
      <c r="G96" s="113">
        <f>+G92</f>
        <v>16848.120663739192</v>
      </c>
      <c r="H96" s="113">
        <f t="shared" ref="H96:K96" si="65">+H92</f>
        <v>15847.797246143382</v>
      </c>
      <c r="I96" s="113">
        <f t="shared" si="65"/>
        <v>14791.446107851116</v>
      </c>
      <c r="J96" s="113">
        <f t="shared" si="65"/>
        <v>14290.625872598906</v>
      </c>
      <c r="K96" s="113">
        <f t="shared" si="65"/>
        <v>14065.081430938681</v>
      </c>
      <c r="L96" s="13"/>
    </row>
    <row r="97" spans="1:12" x14ac:dyDescent="0.3">
      <c r="L97" s="13"/>
    </row>
    <row r="98" spans="1:12" x14ac:dyDescent="0.3">
      <c r="B98" s="195">
        <f>+'18ppe'!G37</f>
        <v>19994</v>
      </c>
      <c r="C98" s="195">
        <f>+'19ppe'!F25</f>
        <v>19473</v>
      </c>
      <c r="D98" s="195">
        <f>+'19ppe'!F37</f>
        <v>16045</v>
      </c>
      <c r="E98" s="195">
        <f>+'22ppe'!F23</f>
        <v>14517</v>
      </c>
      <c r="F98" s="195">
        <f>+'22ppe'!F38</f>
        <v>17798</v>
      </c>
      <c r="G98" s="195">
        <f>+G96</f>
        <v>16848.120663739192</v>
      </c>
      <c r="H98" s="195">
        <f t="shared" ref="H98:K98" si="66">+H96</f>
        <v>15847.797246143382</v>
      </c>
      <c r="I98" s="195">
        <f t="shared" si="66"/>
        <v>14791.446107851116</v>
      </c>
      <c r="J98" s="195">
        <f t="shared" si="66"/>
        <v>14290.625872598906</v>
      </c>
      <c r="K98" s="195">
        <f t="shared" si="66"/>
        <v>14065.081430938681</v>
      </c>
      <c r="L98" s="13"/>
    </row>
    <row r="99" spans="1:12" x14ac:dyDescent="0.3">
      <c r="B99" s="194">
        <f>+B98-B96</f>
        <v>0</v>
      </c>
      <c r="C99" s="194">
        <f t="shared" ref="C99" si="67">+C98-C96</f>
        <v>0</v>
      </c>
      <c r="D99" s="194">
        <f t="shared" ref="D99" si="68">+D98-D96</f>
        <v>0</v>
      </c>
      <c r="E99" s="194">
        <f t="shared" ref="E99" si="69">+E98-E96</f>
        <v>0</v>
      </c>
      <c r="F99" s="194">
        <f t="shared" ref="F99:K99" si="70">+F98-F96</f>
        <v>0</v>
      </c>
      <c r="G99" s="194">
        <f t="shared" si="70"/>
        <v>0</v>
      </c>
      <c r="H99" s="194">
        <f t="shared" si="70"/>
        <v>0</v>
      </c>
      <c r="I99" s="194">
        <f t="shared" si="70"/>
        <v>0</v>
      </c>
      <c r="J99" s="194">
        <f t="shared" si="70"/>
        <v>0</v>
      </c>
      <c r="K99" s="194">
        <f t="shared" si="70"/>
        <v>0</v>
      </c>
      <c r="L99" s="13"/>
    </row>
    <row r="100" spans="1:12" x14ac:dyDescent="0.3">
      <c r="B100" s="195">
        <f>+B92-B98</f>
        <v>0</v>
      </c>
      <c r="C100" s="195">
        <f t="shared" ref="C100:K100" si="71">+C92-C98</f>
        <v>0</v>
      </c>
      <c r="D100" s="195">
        <f t="shared" si="71"/>
        <v>0</v>
      </c>
      <c r="E100" s="195">
        <f t="shared" si="71"/>
        <v>0</v>
      </c>
      <c r="F100" s="195">
        <f t="shared" si="71"/>
        <v>0</v>
      </c>
      <c r="G100" s="195">
        <f t="shared" si="71"/>
        <v>0</v>
      </c>
      <c r="H100" s="195">
        <f t="shared" si="71"/>
        <v>0</v>
      </c>
      <c r="I100" s="195">
        <f t="shared" si="71"/>
        <v>0</v>
      </c>
      <c r="J100" s="195">
        <f t="shared" si="71"/>
        <v>0</v>
      </c>
      <c r="K100" s="195">
        <f t="shared" si="71"/>
        <v>0</v>
      </c>
      <c r="L100" s="13"/>
    </row>
    <row r="101" spans="1:12" x14ac:dyDescent="0.3">
      <c r="L101" s="13"/>
    </row>
    <row r="102" spans="1:12" x14ac:dyDescent="0.3">
      <c r="A102" s="97" t="s">
        <v>202</v>
      </c>
      <c r="B102" s="97">
        <v>2018</v>
      </c>
      <c r="C102" s="97">
        <v>2019</v>
      </c>
      <c r="D102" s="97">
        <v>2020</v>
      </c>
      <c r="E102" s="97">
        <v>2021</v>
      </c>
      <c r="F102" s="97">
        <v>2022</v>
      </c>
      <c r="G102" s="119">
        <v>2023</v>
      </c>
      <c r="H102" s="119">
        <v>2024</v>
      </c>
      <c r="I102" s="119">
        <v>2025</v>
      </c>
      <c r="J102" s="119">
        <v>2026</v>
      </c>
      <c r="K102" s="119">
        <v>2027</v>
      </c>
      <c r="L102" s="13"/>
    </row>
    <row r="103" spans="1:12" x14ac:dyDescent="0.3">
      <c r="A103" s="96" t="s">
        <v>183</v>
      </c>
      <c r="B103" s="114">
        <v>2018</v>
      </c>
      <c r="C103" s="114">
        <v>2019</v>
      </c>
      <c r="D103" s="114">
        <v>2020</v>
      </c>
      <c r="E103" s="114">
        <v>2021</v>
      </c>
      <c r="F103" s="114">
        <v>2022</v>
      </c>
      <c r="G103" s="114"/>
      <c r="H103" s="114"/>
      <c r="I103" s="114"/>
      <c r="J103" s="114"/>
      <c r="K103" s="114"/>
      <c r="L103" s="13"/>
    </row>
    <row r="104" spans="1:12" x14ac:dyDescent="0.3">
      <c r="A104" t="s">
        <v>187</v>
      </c>
      <c r="B104" s="111">
        <v>84772</v>
      </c>
      <c r="C104" s="112">
        <v>123394</v>
      </c>
      <c r="D104" s="112">
        <v>212274</v>
      </c>
      <c r="E104" s="112">
        <v>189310</v>
      </c>
      <c r="F104" s="112">
        <v>168469</v>
      </c>
      <c r="G104" s="112">
        <f>+F120</f>
        <v>188048</v>
      </c>
      <c r="H104" s="112">
        <f t="shared" ref="H104:K104" si="72">+G120</f>
        <v>193600.27723765266</v>
      </c>
      <c r="I104" s="112">
        <f t="shared" si="72"/>
        <v>195833.99123991805</v>
      </c>
      <c r="J104" s="112">
        <f t="shared" si="72"/>
        <v>184422.6465157955</v>
      </c>
      <c r="K104" s="112">
        <f t="shared" si="72"/>
        <v>177900.50566376542</v>
      </c>
      <c r="L104" s="13"/>
    </row>
    <row r="105" spans="1:12" x14ac:dyDescent="0.3">
      <c r="A105" s="126" t="s">
        <v>259</v>
      </c>
      <c r="B105" s="184">
        <v>79370</v>
      </c>
      <c r="C105" s="187">
        <v>133089</v>
      </c>
      <c r="D105" s="187">
        <v>52849</v>
      </c>
      <c r="E105" s="187">
        <v>66191</v>
      </c>
      <c r="F105" s="187">
        <v>50758</v>
      </c>
      <c r="G105" s="187">
        <v>0</v>
      </c>
      <c r="H105" s="187">
        <v>0</v>
      </c>
      <c r="I105" s="187">
        <v>0</v>
      </c>
      <c r="J105" s="187">
        <v>0</v>
      </c>
      <c r="K105" s="187">
        <v>0</v>
      </c>
      <c r="L105" s="13"/>
    </row>
    <row r="106" spans="1:12" x14ac:dyDescent="0.3">
      <c r="A106" s="126" t="s">
        <v>405</v>
      </c>
      <c r="B106" s="184">
        <v>79370</v>
      </c>
      <c r="C106" s="187">
        <v>133089</v>
      </c>
      <c r="D106" s="187">
        <v>52849</v>
      </c>
      <c r="E106" s="187">
        <v>66191</v>
      </c>
      <c r="F106" s="187">
        <v>50758</v>
      </c>
      <c r="G106" s="187">
        <f>+AVERAGE(B106:F106)</f>
        <v>76451.399999999994</v>
      </c>
      <c r="H106" s="187">
        <f t="shared" ref="H106:K106" si="73">+AVERAGE(C106:G106)</f>
        <v>75867.680000000008</v>
      </c>
      <c r="I106" s="187">
        <f t="shared" si="73"/>
        <v>64423.416000000005</v>
      </c>
      <c r="J106" s="187">
        <f t="shared" si="73"/>
        <v>66738.299200000009</v>
      </c>
      <c r="K106" s="187">
        <f t="shared" si="73"/>
        <v>66847.759040000004</v>
      </c>
      <c r="L106" s="13"/>
    </row>
    <row r="107" spans="1:12" x14ac:dyDescent="0.3">
      <c r="A107" s="96" t="s">
        <v>249</v>
      </c>
      <c r="B107" s="111"/>
      <c r="C107" s="111"/>
      <c r="D107" s="111"/>
      <c r="E107" s="112"/>
      <c r="F107" s="112"/>
      <c r="G107" s="112"/>
      <c r="H107" s="112"/>
      <c r="I107" s="112"/>
      <c r="J107" s="112"/>
      <c r="K107" s="112"/>
      <c r="L107" s="13"/>
    </row>
    <row r="108" spans="1:12" x14ac:dyDescent="0.3">
      <c r="A108" s="91" t="s">
        <v>260</v>
      </c>
      <c r="B108" s="111">
        <v>-7723</v>
      </c>
      <c r="C108" s="111">
        <v>-37516</v>
      </c>
      <c r="D108" s="111">
        <v>-486</v>
      </c>
      <c r="E108" s="111">
        <v>-5299</v>
      </c>
      <c r="F108" s="111" t="s">
        <v>82</v>
      </c>
      <c r="G108" s="111" t="s">
        <v>82</v>
      </c>
      <c r="H108" s="111" t="s">
        <v>82</v>
      </c>
      <c r="I108" s="111" t="s">
        <v>82</v>
      </c>
      <c r="J108" s="111" t="s">
        <v>82</v>
      </c>
      <c r="K108" s="111" t="s">
        <v>82</v>
      </c>
      <c r="L108" s="13"/>
    </row>
    <row r="109" spans="1:12" x14ac:dyDescent="0.3">
      <c r="A109" s="91" t="s">
        <v>261</v>
      </c>
      <c r="B109" s="111">
        <v>6766</v>
      </c>
      <c r="C109" s="111">
        <v>37547</v>
      </c>
      <c r="D109" s="111">
        <v>260</v>
      </c>
      <c r="E109" s="111">
        <v>3020</v>
      </c>
      <c r="F109" s="111" t="s">
        <v>82</v>
      </c>
      <c r="G109" s="111" t="s">
        <v>82</v>
      </c>
      <c r="H109" s="111" t="s">
        <v>82</v>
      </c>
      <c r="I109" s="111" t="s">
        <v>82</v>
      </c>
      <c r="J109" s="111" t="s">
        <v>82</v>
      </c>
      <c r="K109" s="111" t="s">
        <v>82</v>
      </c>
      <c r="L109" s="13"/>
    </row>
    <row r="110" spans="1:12" x14ac:dyDescent="0.3">
      <c r="A110" s="188" t="s">
        <v>253</v>
      </c>
      <c r="B110" s="185"/>
      <c r="C110" s="185"/>
      <c r="D110" s="185"/>
      <c r="E110" s="185"/>
      <c r="F110" s="185"/>
      <c r="G110" s="185"/>
      <c r="H110" s="185"/>
      <c r="I110" s="185"/>
      <c r="J110" s="185"/>
      <c r="K110" s="185"/>
      <c r="L110" s="13"/>
    </row>
    <row r="111" spans="1:12" x14ac:dyDescent="0.3">
      <c r="A111" s="116" t="s">
        <v>267</v>
      </c>
      <c r="B111" s="185">
        <v>125</v>
      </c>
      <c r="C111" s="185" t="s">
        <v>82</v>
      </c>
      <c r="D111" s="185" t="s">
        <v>82</v>
      </c>
      <c r="E111" s="185" t="s">
        <v>82</v>
      </c>
      <c r="F111" s="185" t="s">
        <v>82</v>
      </c>
      <c r="G111" s="185" t="s">
        <v>82</v>
      </c>
      <c r="H111" s="185" t="s">
        <v>82</v>
      </c>
      <c r="I111" s="185" t="s">
        <v>82</v>
      </c>
      <c r="J111" s="185" t="s">
        <v>82</v>
      </c>
      <c r="K111" s="185" t="s">
        <v>82</v>
      </c>
      <c r="L111" s="13"/>
    </row>
    <row r="112" spans="1:12" x14ac:dyDescent="0.3">
      <c r="A112" s="189" t="s">
        <v>261</v>
      </c>
      <c r="B112" s="185" t="s">
        <v>82</v>
      </c>
      <c r="C112" s="185" t="s">
        <v>82</v>
      </c>
      <c r="D112" s="185" t="s">
        <v>82</v>
      </c>
      <c r="E112" s="185" t="s">
        <v>82</v>
      </c>
      <c r="F112" s="185" t="s">
        <v>82</v>
      </c>
      <c r="G112" s="185" t="s">
        <v>82</v>
      </c>
      <c r="H112" s="185" t="s">
        <v>82</v>
      </c>
      <c r="I112" s="185" t="s">
        <v>82</v>
      </c>
      <c r="J112" s="185" t="s">
        <v>82</v>
      </c>
      <c r="K112" s="185" t="s">
        <v>82</v>
      </c>
      <c r="L112" s="13"/>
    </row>
    <row r="113" spans="1:12" x14ac:dyDescent="0.3">
      <c r="A113" s="188" t="s">
        <v>269</v>
      </c>
      <c r="B113" s="185"/>
      <c r="C113" s="185"/>
      <c r="D113" s="185"/>
      <c r="E113" s="185"/>
      <c r="F113" s="185"/>
      <c r="G113" s="185"/>
      <c r="H113" s="185"/>
      <c r="I113" s="185"/>
      <c r="J113" s="185"/>
      <c r="K113" s="185"/>
      <c r="L113" s="13"/>
    </row>
    <row r="114" spans="1:12" x14ac:dyDescent="0.3">
      <c r="A114" s="116" t="s">
        <v>267</v>
      </c>
      <c r="B114" s="185" t="s">
        <v>82</v>
      </c>
      <c r="C114" s="185">
        <v>-1917</v>
      </c>
      <c r="D114" s="185" t="s">
        <v>82</v>
      </c>
      <c r="E114" s="185" t="s">
        <v>82</v>
      </c>
      <c r="F114" s="185" t="s">
        <v>82</v>
      </c>
      <c r="G114" s="185" t="s">
        <v>82</v>
      </c>
      <c r="H114" s="185" t="s">
        <v>82</v>
      </c>
      <c r="I114" s="185" t="s">
        <v>82</v>
      </c>
      <c r="J114" s="185" t="s">
        <v>82</v>
      </c>
      <c r="K114" s="185" t="s">
        <v>82</v>
      </c>
      <c r="L114" s="13"/>
    </row>
    <row r="115" spans="1:12" x14ac:dyDescent="0.3">
      <c r="A115" s="189" t="s">
        <v>261</v>
      </c>
      <c r="B115" s="185" t="s">
        <v>82</v>
      </c>
      <c r="C115" s="185">
        <v>1881</v>
      </c>
      <c r="D115" s="185" t="s">
        <v>82</v>
      </c>
      <c r="E115" s="185" t="s">
        <v>82</v>
      </c>
      <c r="F115" s="185" t="s">
        <v>82</v>
      </c>
      <c r="G115" s="185" t="s">
        <v>82</v>
      </c>
      <c r="H115" s="185" t="s">
        <v>82</v>
      </c>
      <c r="I115" s="185" t="s">
        <v>82</v>
      </c>
      <c r="J115" s="185" t="s">
        <v>82</v>
      </c>
      <c r="K115" s="185" t="s">
        <v>82</v>
      </c>
      <c r="L115" s="13"/>
    </row>
    <row r="116" spans="1:12" x14ac:dyDescent="0.3">
      <c r="A116" s="116" t="s">
        <v>254</v>
      </c>
      <c r="B116" s="185">
        <v>1515</v>
      </c>
      <c r="C116" s="186">
        <v>19802</v>
      </c>
      <c r="D116" s="186">
        <v>13974</v>
      </c>
      <c r="E116" s="186">
        <v>8474</v>
      </c>
      <c r="F116" s="186">
        <v>59443</v>
      </c>
      <c r="G116" s="186">
        <v>0</v>
      </c>
      <c r="H116" s="186">
        <v>0</v>
      </c>
      <c r="I116" s="186">
        <v>0</v>
      </c>
      <c r="J116" s="186">
        <v>0</v>
      </c>
      <c r="K116" s="186">
        <v>0</v>
      </c>
      <c r="L116" s="13"/>
    </row>
    <row r="117" spans="1:12" x14ac:dyDescent="0.3">
      <c r="A117" s="116" t="s">
        <v>395</v>
      </c>
      <c r="B117" s="185">
        <v>1515</v>
      </c>
      <c r="C117" s="186">
        <v>19802</v>
      </c>
      <c r="D117" s="186">
        <v>13974</v>
      </c>
      <c r="E117" s="186">
        <v>8474</v>
      </c>
      <c r="F117" s="186">
        <f>+AVERAGE(B117:E117)</f>
        <v>10941.25</v>
      </c>
      <c r="G117" s="186">
        <f>+AVERAGE(B117:F117)</f>
        <v>10941.25</v>
      </c>
      <c r="H117" s="186">
        <f t="shared" ref="H117:K117" si="74">+AVERAGE(C117:G117)</f>
        <v>12826.5</v>
      </c>
      <c r="I117" s="186">
        <f t="shared" si="74"/>
        <v>11431.4</v>
      </c>
      <c r="J117" s="186">
        <f t="shared" si="74"/>
        <v>10922.880000000001</v>
      </c>
      <c r="K117" s="186">
        <f t="shared" si="74"/>
        <v>11412.655999999999</v>
      </c>
      <c r="L117" s="13"/>
    </row>
    <row r="118" spans="1:12" x14ac:dyDescent="0.3">
      <c r="A118" s="93" t="s">
        <v>262</v>
      </c>
      <c r="B118" s="235">
        <v>-41431</v>
      </c>
      <c r="C118" s="118">
        <v>-64006</v>
      </c>
      <c r="D118" s="118">
        <v>-89561</v>
      </c>
      <c r="E118" s="118">
        <v>-93227</v>
      </c>
      <c r="F118" s="118">
        <v>-90622</v>
      </c>
      <c r="G118" s="118">
        <f>SUM(G104:G117)*G119</f>
        <v>-81840.372762347368</v>
      </c>
      <c r="H118" s="118">
        <f t="shared" ref="H118:K118" si="75">SUM(H104:H117)*H119</f>
        <v>-86460.465997734631</v>
      </c>
      <c r="I118" s="118">
        <f t="shared" si="75"/>
        <v>-87266.160724122557</v>
      </c>
      <c r="J118" s="118">
        <f t="shared" si="75"/>
        <v>-84183.320052030089</v>
      </c>
      <c r="K118" s="118">
        <f t="shared" si="75"/>
        <v>-80485.970539140428</v>
      </c>
      <c r="L118" s="13"/>
    </row>
    <row r="119" spans="1:12" x14ac:dyDescent="0.3">
      <c r="A119" s="93" t="s">
        <v>404</v>
      </c>
      <c r="B119" s="192">
        <f>+B118/(B120-B118)</f>
        <v>-0.25136356741999089</v>
      </c>
      <c r="C119" s="192">
        <f t="shared" ref="C119:F119" si="76">+C118/(C120-C118)</f>
        <v>-0.23167076878529028</v>
      </c>
      <c r="D119" s="192">
        <f t="shared" si="76"/>
        <v>-0.32115565978534877</v>
      </c>
      <c r="E119" s="192">
        <f t="shared" si="76"/>
        <v>-0.35624159329909516</v>
      </c>
      <c r="F119" s="192">
        <f t="shared" si="76"/>
        <v>-0.32519467470484803</v>
      </c>
      <c r="G119" s="191">
        <f>+AVERAGE(B119:F119)</f>
        <v>-0.29712525279891461</v>
      </c>
      <c r="H119" s="191">
        <f t="shared" ref="H119:K119" si="77">+AVERAGE(C119:G119)</f>
        <v>-0.30627758987469933</v>
      </c>
      <c r="I119" s="191">
        <f t="shared" si="77"/>
        <v>-0.32119895409258115</v>
      </c>
      <c r="J119" s="191">
        <f t="shared" si="77"/>
        <v>-0.32120761295402767</v>
      </c>
      <c r="K119" s="191">
        <f t="shared" si="77"/>
        <v>-0.31420081688501417</v>
      </c>
      <c r="L119" s="13"/>
    </row>
    <row r="120" spans="1:12" x14ac:dyDescent="0.3">
      <c r="A120" t="s">
        <v>196</v>
      </c>
      <c r="B120" s="111">
        <f>SUM(B104:B118)-B117-B106</f>
        <v>123394</v>
      </c>
      <c r="C120" s="111">
        <f t="shared" ref="C120:F120" si="78">SUM(C104:C118)-C117-C106</f>
        <v>212274</v>
      </c>
      <c r="D120" s="111">
        <f t="shared" si="78"/>
        <v>189310</v>
      </c>
      <c r="E120" s="111">
        <f t="shared" si="78"/>
        <v>168469</v>
      </c>
      <c r="F120" s="111">
        <f t="shared" si="78"/>
        <v>188048</v>
      </c>
      <c r="G120" s="111">
        <f t="shared" ref="G120:K120" si="79">SUM(G104:G118)</f>
        <v>193600.27723765266</v>
      </c>
      <c r="H120" s="111">
        <f t="shared" si="79"/>
        <v>195833.99123991805</v>
      </c>
      <c r="I120" s="111">
        <f t="shared" si="79"/>
        <v>184422.6465157955</v>
      </c>
      <c r="J120" s="111">
        <f t="shared" si="79"/>
        <v>177900.50566376542</v>
      </c>
      <c r="K120" s="111">
        <f t="shared" si="79"/>
        <v>175674.95016462498</v>
      </c>
      <c r="L120" s="13"/>
    </row>
    <row r="121" spans="1:12" x14ac:dyDescent="0.3">
      <c r="A121" s="96" t="s">
        <v>263</v>
      </c>
      <c r="B121" s="111"/>
      <c r="C121" s="112"/>
      <c r="D121" s="112"/>
      <c r="E121" s="112"/>
      <c r="F121" s="112"/>
      <c r="G121" s="112"/>
      <c r="H121" s="112"/>
      <c r="I121" s="112"/>
      <c r="J121" s="112"/>
      <c r="K121" s="112"/>
      <c r="L121" s="13"/>
    </row>
    <row r="122" spans="1:12" x14ac:dyDescent="0.3">
      <c r="A122" t="s">
        <v>264</v>
      </c>
      <c r="B122" s="111">
        <v>485324</v>
      </c>
      <c r="C122" s="112">
        <v>648135</v>
      </c>
      <c r="D122" s="112">
        <v>752563</v>
      </c>
      <c r="E122" s="112">
        <v>858594</v>
      </c>
      <c r="F122" s="112">
        <v>1328513</v>
      </c>
      <c r="G122" s="112">
        <f>+G124-G123</f>
        <v>1415905.65</v>
      </c>
      <c r="H122" s="112">
        <f t="shared" ref="H122:K122" si="80">+H124-H123</f>
        <v>1504599.83</v>
      </c>
      <c r="I122" s="112">
        <f t="shared" si="80"/>
        <v>1580454.6459999999</v>
      </c>
      <c r="J122" s="112">
        <f t="shared" si="80"/>
        <v>1658115.8251999998</v>
      </c>
      <c r="K122" s="112">
        <f t="shared" si="80"/>
        <v>1736376.24024</v>
      </c>
      <c r="L122" s="13"/>
    </row>
    <row r="123" spans="1:12" x14ac:dyDescent="0.3">
      <c r="A123" t="s">
        <v>265</v>
      </c>
      <c r="B123" s="111">
        <v>-361930</v>
      </c>
      <c r="C123" s="112">
        <v>-435861</v>
      </c>
      <c r="D123" s="112">
        <v>-563253</v>
      </c>
      <c r="E123" s="112">
        <v>-690125</v>
      </c>
      <c r="F123" s="112">
        <v>-1140465</v>
      </c>
      <c r="G123" s="112">
        <f>+F123+G118</f>
        <v>-1222305.3727623473</v>
      </c>
      <c r="H123" s="112">
        <f t="shared" ref="H123:K123" si="81">+G123+H118</f>
        <v>-1308765.8387600819</v>
      </c>
      <c r="I123" s="112">
        <f t="shared" si="81"/>
        <v>-1396031.9994842045</v>
      </c>
      <c r="J123" s="112">
        <f t="shared" si="81"/>
        <v>-1480215.3195362345</v>
      </c>
      <c r="K123" s="112">
        <f t="shared" si="81"/>
        <v>-1560701.290075375</v>
      </c>
      <c r="L123" s="13"/>
    </row>
    <row r="124" spans="1:12" x14ac:dyDescent="0.3">
      <c r="A124" s="81" t="s">
        <v>204</v>
      </c>
      <c r="B124" s="113">
        <f>SUM(B122:B123)</f>
        <v>123394</v>
      </c>
      <c r="C124" s="113">
        <f>SUM(C122:C123)</f>
        <v>212274</v>
      </c>
      <c r="D124" s="113">
        <f t="shared" ref="D124" si="82">SUM(D122:D123)</f>
        <v>189310</v>
      </c>
      <c r="E124" s="113">
        <f t="shared" ref="E124" si="83">SUM(E122:E123)</f>
        <v>168469</v>
      </c>
      <c r="F124" s="113">
        <f t="shared" ref="F124" si="84">SUM(F122:F123)</f>
        <v>188048</v>
      </c>
      <c r="G124" s="113">
        <f>+G120</f>
        <v>193600.27723765266</v>
      </c>
      <c r="H124" s="113">
        <f t="shared" ref="H124:K124" si="85">+H120</f>
        <v>195833.99123991805</v>
      </c>
      <c r="I124" s="113">
        <f t="shared" si="85"/>
        <v>184422.6465157955</v>
      </c>
      <c r="J124" s="113">
        <f t="shared" si="85"/>
        <v>177900.50566376542</v>
      </c>
      <c r="K124" s="113">
        <f t="shared" si="85"/>
        <v>175674.95016462498</v>
      </c>
      <c r="L124" s="13"/>
    </row>
    <row r="125" spans="1:12" x14ac:dyDescent="0.3">
      <c r="L125" s="13"/>
    </row>
    <row r="126" spans="1:12" x14ac:dyDescent="0.3">
      <c r="B126" s="195">
        <f>+'18ppe'!H37</f>
        <v>123394</v>
      </c>
      <c r="C126" s="195">
        <f>+'19ppe'!G25</f>
        <v>212274</v>
      </c>
      <c r="D126" s="195">
        <f>+'19ppe'!G37</f>
        <v>189310</v>
      </c>
      <c r="E126" s="195">
        <f>+'22ppe'!G23</f>
        <v>168469</v>
      </c>
      <c r="F126" s="195">
        <f>+'22ppe'!G38</f>
        <v>188048</v>
      </c>
      <c r="G126" s="195">
        <f>+G124</f>
        <v>193600.27723765266</v>
      </c>
      <c r="H126" s="195">
        <f t="shared" ref="H126:K126" si="86">+H124</f>
        <v>195833.99123991805</v>
      </c>
      <c r="I126" s="195">
        <f t="shared" si="86"/>
        <v>184422.6465157955</v>
      </c>
      <c r="J126" s="195">
        <f t="shared" si="86"/>
        <v>177900.50566376542</v>
      </c>
      <c r="K126" s="195">
        <f t="shared" si="86"/>
        <v>175674.95016462498</v>
      </c>
      <c r="L126" s="13"/>
    </row>
    <row r="127" spans="1:12" x14ac:dyDescent="0.3">
      <c r="B127" s="194">
        <f>+B126-B124</f>
        <v>0</v>
      </c>
      <c r="C127" s="194">
        <f t="shared" ref="C127" si="87">+C126-C124</f>
        <v>0</v>
      </c>
      <c r="D127" s="194">
        <f t="shared" ref="D127" si="88">+D126-D124</f>
        <v>0</v>
      </c>
      <c r="E127" s="194">
        <f t="shared" ref="E127" si="89">+E126-E124</f>
        <v>0</v>
      </c>
      <c r="F127" s="194">
        <f t="shared" ref="F127:K127" si="90">+F126-F124</f>
        <v>0</v>
      </c>
      <c r="G127" s="194">
        <f t="shared" si="90"/>
        <v>0</v>
      </c>
      <c r="H127" s="194">
        <f t="shared" si="90"/>
        <v>0</v>
      </c>
      <c r="I127" s="194">
        <f t="shared" si="90"/>
        <v>0</v>
      </c>
      <c r="J127" s="194">
        <f t="shared" si="90"/>
        <v>0</v>
      </c>
      <c r="K127" s="194">
        <f t="shared" si="90"/>
        <v>0</v>
      </c>
      <c r="L127" s="13"/>
    </row>
    <row r="128" spans="1:12" x14ac:dyDescent="0.3">
      <c r="B128" s="195">
        <f>+B120-B126</f>
        <v>0</v>
      </c>
      <c r="C128" s="195">
        <f t="shared" ref="C128:K128" si="91">+C120-C126</f>
        <v>0</v>
      </c>
      <c r="D128" s="195">
        <f t="shared" si="91"/>
        <v>0</v>
      </c>
      <c r="E128" s="195">
        <f t="shared" si="91"/>
        <v>0</v>
      </c>
      <c r="F128" s="195">
        <f t="shared" si="91"/>
        <v>0</v>
      </c>
      <c r="G128" s="195">
        <f t="shared" si="91"/>
        <v>0</v>
      </c>
      <c r="H128" s="195">
        <f t="shared" si="91"/>
        <v>0</v>
      </c>
      <c r="I128" s="195">
        <f t="shared" si="91"/>
        <v>0</v>
      </c>
      <c r="J128" s="195">
        <f t="shared" si="91"/>
        <v>0</v>
      </c>
      <c r="K128" s="195">
        <f t="shared" si="91"/>
        <v>0</v>
      </c>
      <c r="L128" s="13"/>
    </row>
    <row r="129" spans="1:12" x14ac:dyDescent="0.3">
      <c r="L129" s="13"/>
    </row>
    <row r="130" spans="1:12" x14ac:dyDescent="0.3">
      <c r="L130" s="13"/>
    </row>
    <row r="131" spans="1:12" x14ac:dyDescent="0.3">
      <c r="L131" s="13"/>
    </row>
    <row r="132" spans="1:12" x14ac:dyDescent="0.3">
      <c r="A132" s="97" t="s">
        <v>203</v>
      </c>
      <c r="B132" s="97">
        <v>2018</v>
      </c>
      <c r="C132" s="97">
        <v>2019</v>
      </c>
      <c r="D132" s="97">
        <v>2020</v>
      </c>
      <c r="E132" s="97">
        <v>2021</v>
      </c>
      <c r="F132" s="97">
        <v>2022</v>
      </c>
      <c r="G132" s="119">
        <v>2023</v>
      </c>
      <c r="H132" s="119">
        <v>2024</v>
      </c>
      <c r="I132" s="119">
        <v>2025</v>
      </c>
      <c r="J132" s="119">
        <v>2026</v>
      </c>
      <c r="K132" s="119">
        <v>2027</v>
      </c>
      <c r="L132" s="13"/>
    </row>
    <row r="133" spans="1:12" x14ac:dyDescent="0.3">
      <c r="A133" s="96" t="s">
        <v>183</v>
      </c>
      <c r="B133" s="114">
        <v>2018</v>
      </c>
      <c r="C133" s="114">
        <v>2019</v>
      </c>
      <c r="D133" s="114">
        <v>2020</v>
      </c>
      <c r="E133" s="114">
        <v>2021</v>
      </c>
      <c r="F133" s="114">
        <v>2022</v>
      </c>
      <c r="G133" s="114"/>
      <c r="H133" s="114"/>
      <c r="I133" s="114"/>
      <c r="J133" s="114"/>
      <c r="K133" s="114"/>
      <c r="L133" s="13"/>
    </row>
    <row r="134" spans="1:12" x14ac:dyDescent="0.3">
      <c r="A134" t="s">
        <v>187</v>
      </c>
      <c r="B134" s="111">
        <v>14398</v>
      </c>
      <c r="C134" s="112">
        <v>7653</v>
      </c>
      <c r="D134" s="112">
        <v>5308</v>
      </c>
      <c r="E134" s="112">
        <v>28003</v>
      </c>
      <c r="F134" s="112">
        <v>19928</v>
      </c>
      <c r="G134" s="72">
        <f>+F146</f>
        <v>18849</v>
      </c>
      <c r="H134" s="72">
        <f>+G146</f>
        <v>13591.138368393829</v>
      </c>
      <c r="I134" s="72">
        <f>+H146</f>
        <v>10529.628647288593</v>
      </c>
      <c r="J134" s="72">
        <f t="shared" ref="J134:K134" si="92">+I146</f>
        <v>8573.5859565086721</v>
      </c>
      <c r="K134" s="72">
        <f t="shared" si="92"/>
        <v>6795.5468659870485</v>
      </c>
      <c r="L134" s="13"/>
    </row>
    <row r="135" spans="1:12" x14ac:dyDescent="0.3">
      <c r="A135" s="126" t="s">
        <v>259</v>
      </c>
      <c r="B135" s="184" t="s">
        <v>82</v>
      </c>
      <c r="C135" s="184" t="s">
        <v>82</v>
      </c>
      <c r="D135" s="187">
        <v>25213</v>
      </c>
      <c r="E135" s="183" t="s">
        <v>82</v>
      </c>
      <c r="F135" s="183" t="s">
        <v>82</v>
      </c>
      <c r="G135" s="183" t="s">
        <v>82</v>
      </c>
      <c r="H135" s="183" t="s">
        <v>82</v>
      </c>
      <c r="I135" s="183" t="s">
        <v>82</v>
      </c>
      <c r="J135" s="183" t="s">
        <v>82</v>
      </c>
      <c r="K135" s="183" t="s">
        <v>82</v>
      </c>
      <c r="L135" s="13"/>
    </row>
    <row r="136" spans="1:12" x14ac:dyDescent="0.3">
      <c r="A136" s="188" t="s">
        <v>249</v>
      </c>
      <c r="B136" s="185"/>
      <c r="C136" s="185"/>
      <c r="D136" s="185"/>
      <c r="E136" s="186"/>
      <c r="F136" s="186"/>
      <c r="G136" s="186"/>
      <c r="H136" s="186"/>
      <c r="I136" s="186"/>
      <c r="J136" s="186"/>
      <c r="K136" s="186"/>
      <c r="L136" s="13"/>
    </row>
    <row r="137" spans="1:12" x14ac:dyDescent="0.3">
      <c r="A137" s="189" t="s">
        <v>260</v>
      </c>
      <c r="B137" s="185" t="s">
        <v>82</v>
      </c>
      <c r="C137" s="185">
        <v>-21479</v>
      </c>
      <c r="D137" s="185" t="s">
        <v>82</v>
      </c>
      <c r="E137" s="98" t="s">
        <v>82</v>
      </c>
      <c r="F137" s="98" t="s">
        <v>82</v>
      </c>
      <c r="G137" s="98" t="s">
        <v>82</v>
      </c>
      <c r="H137" s="98" t="s">
        <v>82</v>
      </c>
      <c r="I137" s="98" t="s">
        <v>82</v>
      </c>
      <c r="J137" s="98" t="s">
        <v>82</v>
      </c>
      <c r="K137" s="98" t="s">
        <v>82</v>
      </c>
      <c r="L137" s="13"/>
    </row>
    <row r="138" spans="1:12" x14ac:dyDescent="0.3">
      <c r="A138" s="189" t="s">
        <v>261</v>
      </c>
      <c r="B138" s="185" t="s">
        <v>82</v>
      </c>
      <c r="C138" s="185">
        <v>21479</v>
      </c>
      <c r="D138" s="185" t="s">
        <v>82</v>
      </c>
      <c r="E138" s="98" t="s">
        <v>82</v>
      </c>
      <c r="F138" s="98" t="s">
        <v>82</v>
      </c>
      <c r="G138" s="98" t="s">
        <v>82</v>
      </c>
      <c r="H138" s="98" t="s">
        <v>82</v>
      </c>
      <c r="I138" s="98" t="s">
        <v>82</v>
      </c>
      <c r="J138" s="98" t="s">
        <v>82</v>
      </c>
      <c r="K138" s="98" t="s">
        <v>82</v>
      </c>
      <c r="L138" s="13"/>
    </row>
    <row r="139" spans="1:12" x14ac:dyDescent="0.3">
      <c r="A139" s="188" t="s">
        <v>253</v>
      </c>
      <c r="B139" s="185"/>
      <c r="C139" s="185"/>
      <c r="D139" s="185"/>
      <c r="E139" s="185"/>
      <c r="F139" s="185"/>
      <c r="G139" s="185"/>
      <c r="H139" s="185"/>
      <c r="I139" s="185"/>
      <c r="J139" s="185"/>
      <c r="K139" s="185"/>
      <c r="L139" s="13"/>
    </row>
    <row r="140" spans="1:12" x14ac:dyDescent="0.3">
      <c r="A140" s="116" t="s">
        <v>267</v>
      </c>
      <c r="B140" s="185">
        <v>-154</v>
      </c>
      <c r="C140" s="98" t="s">
        <v>82</v>
      </c>
      <c r="D140" s="98" t="s">
        <v>82</v>
      </c>
      <c r="E140" s="98" t="s">
        <v>82</v>
      </c>
      <c r="F140" s="98" t="s">
        <v>82</v>
      </c>
      <c r="G140" s="98" t="s">
        <v>82</v>
      </c>
      <c r="H140" s="98" t="s">
        <v>82</v>
      </c>
      <c r="I140" s="98" t="s">
        <v>82</v>
      </c>
      <c r="J140" s="98" t="s">
        <v>82</v>
      </c>
      <c r="K140" s="98" t="s">
        <v>82</v>
      </c>
      <c r="L140" s="13"/>
    </row>
    <row r="141" spans="1:12" x14ac:dyDescent="0.3">
      <c r="A141" s="189" t="s">
        <v>261</v>
      </c>
      <c r="B141" s="185" t="s">
        <v>82</v>
      </c>
      <c r="C141" s="98" t="s">
        <v>82</v>
      </c>
      <c r="D141" s="98" t="s">
        <v>82</v>
      </c>
      <c r="E141" s="98" t="s">
        <v>82</v>
      </c>
      <c r="F141" s="98" t="s">
        <v>82</v>
      </c>
      <c r="G141" s="98" t="s">
        <v>82</v>
      </c>
      <c r="H141" s="98" t="s">
        <v>82</v>
      </c>
      <c r="I141" s="98" t="s">
        <v>82</v>
      </c>
      <c r="J141" s="98" t="s">
        <v>82</v>
      </c>
      <c r="K141" s="98" t="s">
        <v>82</v>
      </c>
      <c r="L141" s="13"/>
    </row>
    <row r="142" spans="1:12" x14ac:dyDescent="0.3">
      <c r="A142" s="116" t="s">
        <v>254</v>
      </c>
      <c r="B142" s="185">
        <v>62</v>
      </c>
      <c r="C142" s="186">
        <v>861</v>
      </c>
      <c r="D142" s="186">
        <v>1602</v>
      </c>
      <c r="E142" s="186">
        <v>952</v>
      </c>
      <c r="F142" s="186">
        <v>5965</v>
      </c>
      <c r="G142" s="186">
        <v>0</v>
      </c>
      <c r="H142" s="186">
        <v>0</v>
      </c>
      <c r="I142" s="186">
        <v>0</v>
      </c>
      <c r="J142" s="186">
        <v>0</v>
      </c>
      <c r="K142" s="186">
        <v>0</v>
      </c>
      <c r="L142" s="13"/>
    </row>
    <row r="143" spans="1:12" x14ac:dyDescent="0.3">
      <c r="A143" s="116" t="s">
        <v>395</v>
      </c>
      <c r="B143" s="185">
        <v>62</v>
      </c>
      <c r="C143" s="186">
        <v>861</v>
      </c>
      <c r="D143" s="186">
        <v>1602</v>
      </c>
      <c r="E143" s="186">
        <v>952</v>
      </c>
      <c r="F143" s="186">
        <f>+AVERAGE(B143:E143)</f>
        <v>869.25</v>
      </c>
      <c r="G143" s="186">
        <f>+AVERAGE(B143:F143)</f>
        <v>869.25</v>
      </c>
      <c r="H143" s="186">
        <f t="shared" ref="H143:K143" si="93">+AVERAGE(C143:G143)</f>
        <v>1030.7</v>
      </c>
      <c r="I143" s="186">
        <f t="shared" si="93"/>
        <v>1064.6399999999999</v>
      </c>
      <c r="J143" s="186">
        <f t="shared" si="93"/>
        <v>957.16800000000001</v>
      </c>
      <c r="K143" s="186">
        <f t="shared" si="93"/>
        <v>958.20159999999998</v>
      </c>
      <c r="L143" s="13"/>
    </row>
    <row r="144" spans="1:12" x14ac:dyDescent="0.3">
      <c r="A144" s="93" t="s">
        <v>262</v>
      </c>
      <c r="B144" s="235">
        <v>-6653</v>
      </c>
      <c r="C144" s="118">
        <v>-3206</v>
      </c>
      <c r="D144" s="118">
        <v>-4120</v>
      </c>
      <c r="E144" s="118">
        <v>-9027</v>
      </c>
      <c r="F144" s="118">
        <v>-7044</v>
      </c>
      <c r="G144" s="118">
        <f>SUM(G134:G143)*G145</f>
        <v>-6127.1116316061707</v>
      </c>
      <c r="H144" s="118">
        <f t="shared" ref="H144:K144" si="94">SUM(H134:H143)*H145</f>
        <v>-4092.2097211052364</v>
      </c>
      <c r="I144" s="118">
        <f t="shared" si="94"/>
        <v>-3020.6826907799195</v>
      </c>
      <c r="J144" s="118">
        <f t="shared" si="94"/>
        <v>-2735.2070905216233</v>
      </c>
      <c r="K144" s="118">
        <f t="shared" si="94"/>
        <v>-2186.8133627658412</v>
      </c>
      <c r="L144" s="13"/>
    </row>
    <row r="145" spans="1:12" x14ac:dyDescent="0.3">
      <c r="A145" s="93" t="s">
        <v>404</v>
      </c>
      <c r="B145" s="192">
        <f>+B144/(B146-B144)</f>
        <v>-0.46504962952607298</v>
      </c>
      <c r="C145" s="192">
        <f t="shared" ref="C145:F145" si="95">+C144/(C146-C144)</f>
        <v>-0.37655626027719052</v>
      </c>
      <c r="D145" s="192">
        <f t="shared" si="95"/>
        <v>-0.12825701210970333</v>
      </c>
      <c r="E145" s="192">
        <f t="shared" si="95"/>
        <v>-0.31175962700742532</v>
      </c>
      <c r="F145" s="192">
        <f t="shared" si="95"/>
        <v>-0.27204263700614068</v>
      </c>
      <c r="G145" s="191">
        <f>+AVERAGE(B145:F145)</f>
        <v>-0.31073303318530654</v>
      </c>
      <c r="H145" s="191">
        <f t="shared" ref="H145:K145" si="96">+AVERAGE(C145:G145)</f>
        <v>-0.27986971391715326</v>
      </c>
      <c r="I145" s="191">
        <f t="shared" si="96"/>
        <v>-0.26053240464514588</v>
      </c>
      <c r="J145" s="191">
        <f t="shared" si="96"/>
        <v>-0.28698748315223432</v>
      </c>
      <c r="K145" s="191">
        <f t="shared" si="96"/>
        <v>-0.28203305438119614</v>
      </c>
      <c r="L145" s="13"/>
    </row>
    <row r="146" spans="1:12" x14ac:dyDescent="0.3">
      <c r="A146" t="s">
        <v>196</v>
      </c>
      <c r="B146" s="111">
        <f>SUM(B134:B144)-B143</f>
        <v>7653</v>
      </c>
      <c r="C146" s="111">
        <f>SUM(C134:C144)-C143</f>
        <v>5308</v>
      </c>
      <c r="D146" s="111">
        <f>SUM(D134:D144)-D143</f>
        <v>28003</v>
      </c>
      <c r="E146" s="111">
        <f>SUM(E134:E144)-E143</f>
        <v>19928</v>
      </c>
      <c r="F146" s="111">
        <f>SUM(F134:F144)-F143</f>
        <v>18849</v>
      </c>
      <c r="G146" s="111">
        <f>SUM(G134:G144)</f>
        <v>13591.138368393829</v>
      </c>
      <c r="H146" s="111">
        <f>SUM(H134:H144)</f>
        <v>10529.628647288593</v>
      </c>
      <c r="I146" s="111">
        <f>SUM(I134:I144)</f>
        <v>8573.5859565086721</v>
      </c>
      <c r="J146" s="111">
        <f>SUM(J134:J144)</f>
        <v>6795.5468659870485</v>
      </c>
      <c r="K146" s="111">
        <f>SUM(K134:K144)</f>
        <v>5566.9351032212071</v>
      </c>
      <c r="L146" s="13"/>
    </row>
    <row r="147" spans="1:12" x14ac:dyDescent="0.3">
      <c r="A147" s="96" t="s">
        <v>263</v>
      </c>
      <c r="B147" s="111"/>
      <c r="C147" s="112"/>
      <c r="D147" s="112"/>
      <c r="E147" s="112"/>
      <c r="F147" s="112"/>
      <c r="G147" s="112"/>
      <c r="H147" s="112"/>
      <c r="I147" s="112"/>
      <c r="J147" s="112"/>
      <c r="K147" s="112"/>
      <c r="L147" s="13"/>
    </row>
    <row r="148" spans="1:12" x14ac:dyDescent="0.3">
      <c r="A148" t="s">
        <v>264</v>
      </c>
      <c r="B148" s="111">
        <v>33379</v>
      </c>
      <c r="C148" s="112">
        <v>15287</v>
      </c>
      <c r="D148" s="112">
        <v>43093</v>
      </c>
      <c r="E148" s="112">
        <v>45453</v>
      </c>
      <c r="F148" s="112">
        <v>66413</v>
      </c>
      <c r="G148" s="112">
        <f>+G150-G149</f>
        <v>67282.25</v>
      </c>
      <c r="H148" s="112">
        <f t="shared" ref="H148:K148" si="97">+H150-H149</f>
        <v>68312.95</v>
      </c>
      <c r="I148" s="112">
        <f t="shared" si="97"/>
        <v>69377.59</v>
      </c>
      <c r="J148" s="112">
        <f t="shared" si="97"/>
        <v>70334.758000000002</v>
      </c>
      <c r="K148" s="112">
        <f t="shared" si="97"/>
        <v>71292.959600000002</v>
      </c>
      <c r="L148" s="13"/>
    </row>
    <row r="149" spans="1:12" x14ac:dyDescent="0.3">
      <c r="A149" t="s">
        <v>265</v>
      </c>
      <c r="B149" s="111">
        <v>-25726</v>
      </c>
      <c r="C149" s="112">
        <v>-9979</v>
      </c>
      <c r="D149" s="112">
        <v>-15090</v>
      </c>
      <c r="E149" s="112">
        <v>-25525</v>
      </c>
      <c r="F149" s="112">
        <v>-47564</v>
      </c>
      <c r="G149" s="112">
        <f>+F149+G144</f>
        <v>-53691.111631606167</v>
      </c>
      <c r="H149" s="112">
        <f t="shared" ref="H149:K149" si="98">+G149+H144</f>
        <v>-57783.321352711406</v>
      </c>
      <c r="I149" s="112">
        <f t="shared" si="98"/>
        <v>-60804.004043491324</v>
      </c>
      <c r="J149" s="112">
        <f t="shared" si="98"/>
        <v>-63539.211134012949</v>
      </c>
      <c r="K149" s="112">
        <f t="shared" si="98"/>
        <v>-65726.024496778788</v>
      </c>
      <c r="L149" s="13"/>
    </row>
    <row r="150" spans="1:12" x14ac:dyDescent="0.3">
      <c r="A150" s="81" t="s">
        <v>204</v>
      </c>
      <c r="B150" s="113">
        <f>SUM(B148:B149)</f>
        <v>7653</v>
      </c>
      <c r="C150" s="113">
        <f>SUM(C148:C149)</f>
        <v>5308</v>
      </c>
      <c r="D150" s="113">
        <f t="shared" ref="D150" si="99">SUM(D148:D149)</f>
        <v>28003</v>
      </c>
      <c r="E150" s="113">
        <f t="shared" ref="E150" si="100">SUM(E148:E149)</f>
        <v>19928</v>
      </c>
      <c r="F150" s="113">
        <f t="shared" ref="F150" si="101">SUM(F148:F149)</f>
        <v>18849</v>
      </c>
      <c r="G150" s="113">
        <f>+G146</f>
        <v>13591.138368393829</v>
      </c>
      <c r="H150" s="113">
        <f t="shared" ref="H150:K150" si="102">+H146</f>
        <v>10529.628647288593</v>
      </c>
      <c r="I150" s="113">
        <f t="shared" si="102"/>
        <v>8573.5859565086721</v>
      </c>
      <c r="J150" s="113">
        <f t="shared" si="102"/>
        <v>6795.5468659870485</v>
      </c>
      <c r="K150" s="113">
        <f t="shared" si="102"/>
        <v>5566.9351032212071</v>
      </c>
      <c r="L150" s="13"/>
    </row>
    <row r="151" spans="1:12" x14ac:dyDescent="0.3">
      <c r="A151" s="1"/>
      <c r="B151" s="234"/>
      <c r="C151" s="234"/>
      <c r="D151" s="234"/>
      <c r="E151" s="234"/>
      <c r="F151" s="234"/>
      <c r="G151" s="234"/>
      <c r="H151" s="234"/>
      <c r="I151" s="234"/>
      <c r="J151" s="234"/>
      <c r="K151" s="234"/>
      <c r="L151" s="13"/>
    </row>
    <row r="152" spans="1:12" x14ac:dyDescent="0.3">
      <c r="A152" s="1" t="s">
        <v>468</v>
      </c>
      <c r="B152" s="234">
        <f>+B144+B118+B90+B65+B40+B15</f>
        <v>-1064514</v>
      </c>
      <c r="C152" s="234">
        <f t="shared" ref="C152:K152" si="103">+C144+C118+C90+C65+C40+C15</f>
        <v>-1240971</v>
      </c>
      <c r="D152" s="234">
        <f t="shared" si="103"/>
        <v>-1236507</v>
      </c>
      <c r="E152" s="234">
        <f t="shared" si="103"/>
        <v>-1323715</v>
      </c>
      <c r="F152" s="234">
        <f t="shared" si="103"/>
        <v>-1386287</v>
      </c>
      <c r="G152" s="234">
        <f t="shared" si="103"/>
        <v>-1858642.6960949688</v>
      </c>
      <c r="H152" s="234">
        <f t="shared" si="103"/>
        <v>-1828121.1181960956</v>
      </c>
      <c r="I152" s="234">
        <f t="shared" si="103"/>
        <v>-1777146.3413190832</v>
      </c>
      <c r="J152" s="234">
        <f t="shared" si="103"/>
        <v>-1743489.4465769767</v>
      </c>
      <c r="K152" s="234">
        <f t="shared" si="103"/>
        <v>-1689788.9472701692</v>
      </c>
      <c r="L152" s="13"/>
    </row>
    <row r="153" spans="1:12" x14ac:dyDescent="0.3">
      <c r="A153" s="1"/>
      <c r="B153" s="234">
        <f>+FCFF!B5+B334</f>
        <v>1110372</v>
      </c>
      <c r="C153" s="234">
        <f>+FCFF!C5+C334</f>
        <v>1284118</v>
      </c>
      <c r="D153" s="234">
        <f>+FCFF!D5+D334</f>
        <v>1325956</v>
      </c>
      <c r="E153" s="234">
        <f>+FCFF!E5+E334</f>
        <v>1428466</v>
      </c>
      <c r="F153" s="234">
        <f>+FCFF!F5+F334</f>
        <v>1503680</v>
      </c>
      <c r="G153" s="234">
        <f>+FCFF!G5</f>
        <v>1916260.6960949688</v>
      </c>
      <c r="H153" s="234">
        <f>+FCFF!H5</f>
        <v>1888339.4515294288</v>
      </c>
      <c r="I153" s="234">
        <f>+FCFF!I5</f>
        <v>1838235.4524301942</v>
      </c>
      <c r="J153" s="234">
        <f>+FCFF!J5</f>
        <v>1803131.2613917915</v>
      </c>
      <c r="K153" s="234">
        <f>+FCFF!K5</f>
        <v>1750105.3670232557</v>
      </c>
      <c r="L153" s="13"/>
    </row>
    <row r="154" spans="1:12" x14ac:dyDescent="0.3">
      <c r="L154" s="13"/>
    </row>
    <row r="155" spans="1:12" x14ac:dyDescent="0.3">
      <c r="B155" s="195">
        <f>+'18ppe'!I37</f>
        <v>7653</v>
      </c>
      <c r="C155" s="195">
        <f>+'19ppe'!H25</f>
        <v>5308</v>
      </c>
      <c r="D155" s="195">
        <f>+'19ppe'!H37</f>
        <v>28003</v>
      </c>
      <c r="E155" s="195">
        <f>+'22ppe'!H23</f>
        <v>19928</v>
      </c>
      <c r="F155" s="195">
        <f>+'22ppe'!H38</f>
        <v>18849</v>
      </c>
      <c r="G155" s="195">
        <f>+G150</f>
        <v>13591.138368393829</v>
      </c>
      <c r="H155" s="195">
        <f t="shared" ref="H155:K155" si="104">+H150</f>
        <v>10529.628647288593</v>
      </c>
      <c r="I155" s="195">
        <f t="shared" si="104"/>
        <v>8573.5859565086721</v>
      </c>
      <c r="J155" s="195">
        <f t="shared" si="104"/>
        <v>6795.5468659870485</v>
      </c>
      <c r="K155" s="195">
        <f t="shared" si="104"/>
        <v>5566.9351032212071</v>
      </c>
      <c r="L155" s="13"/>
    </row>
    <row r="156" spans="1:12" x14ac:dyDescent="0.3">
      <c r="B156" s="195">
        <f>+B155-B146</f>
        <v>0</v>
      </c>
      <c r="C156" s="195">
        <f t="shared" ref="C156:F156" si="105">+C155-C146</f>
        <v>0</v>
      </c>
      <c r="D156" s="195">
        <f t="shared" si="105"/>
        <v>0</v>
      </c>
      <c r="E156" s="195">
        <f t="shared" si="105"/>
        <v>0</v>
      </c>
      <c r="F156" s="195">
        <f t="shared" si="105"/>
        <v>0</v>
      </c>
      <c r="G156" s="195">
        <f t="shared" ref="G156" si="106">+G155-G146</f>
        <v>0</v>
      </c>
      <c r="H156" s="195">
        <f t="shared" ref="H156" si="107">+H155-H146</f>
        <v>0</v>
      </c>
      <c r="I156" s="195">
        <f t="shared" ref="I156" si="108">+I155-I146</f>
        <v>0</v>
      </c>
      <c r="J156" s="195">
        <f t="shared" ref="J156" si="109">+J155-J146</f>
        <v>0</v>
      </c>
      <c r="K156" s="195">
        <f t="shared" ref="K156" si="110">+K155-K146</f>
        <v>0</v>
      </c>
      <c r="L156" s="13"/>
    </row>
    <row r="157" spans="1:12" x14ac:dyDescent="0.3">
      <c r="B157" s="194">
        <f>+B155-B150</f>
        <v>0</v>
      </c>
      <c r="C157" s="194">
        <f t="shared" ref="C157" si="111">+C155-C150</f>
        <v>0</v>
      </c>
      <c r="D157" s="194">
        <f t="shared" ref="D157" si="112">+D155-D150</f>
        <v>0</v>
      </c>
      <c r="E157" s="194">
        <f t="shared" ref="E157" si="113">+E155-E150</f>
        <v>0</v>
      </c>
      <c r="F157" s="194">
        <f t="shared" ref="F157:K157" si="114">+F155-F150</f>
        <v>0</v>
      </c>
      <c r="G157" s="194">
        <f t="shared" si="114"/>
        <v>0</v>
      </c>
      <c r="H157" s="194">
        <f t="shared" si="114"/>
        <v>0</v>
      </c>
      <c r="I157" s="194">
        <f t="shared" si="114"/>
        <v>0</v>
      </c>
      <c r="J157" s="194">
        <f t="shared" si="114"/>
        <v>0</v>
      </c>
      <c r="K157" s="194">
        <f t="shared" si="114"/>
        <v>0</v>
      </c>
      <c r="L157" s="13"/>
    </row>
    <row r="158" spans="1:12" x14ac:dyDescent="0.3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</row>
    <row r="159" spans="1:12" x14ac:dyDescent="0.3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</row>
    <row r="160" spans="1:12" x14ac:dyDescent="0.3">
      <c r="A160" s="193" t="s">
        <v>381</v>
      </c>
      <c r="B160" s="194">
        <f>+B8+B30+B55+B80+B105</f>
        <v>1552773</v>
      </c>
      <c r="C160" s="194">
        <f>+C8+C30+C55+C80+C10+C105</f>
        <v>1121857</v>
      </c>
      <c r="D160" s="194">
        <f>+D8+D30+D55+D80+D105+D135</f>
        <v>1007888</v>
      </c>
      <c r="E160" s="194">
        <f>+E8+E30+E55+E80+E105</f>
        <v>812078</v>
      </c>
      <c r="F160" s="194">
        <f>+F8+F30+F55+F80+F105</f>
        <v>2749794</v>
      </c>
      <c r="G160" s="194">
        <f>+G9+G31+G56+G81+G106</f>
        <v>1148702.5999999999</v>
      </c>
      <c r="H160" s="194">
        <f t="shared" ref="H160:K160" si="115">+H9+H31+H56+H81+H106</f>
        <v>1067888.52</v>
      </c>
      <c r="I160" s="194">
        <f t="shared" si="115"/>
        <v>1057094.824</v>
      </c>
      <c r="J160" s="194">
        <f t="shared" si="115"/>
        <v>1071978.7888</v>
      </c>
      <c r="K160" s="194">
        <f t="shared" si="115"/>
        <v>1123958.9465599998</v>
      </c>
      <c r="L160" s="13"/>
    </row>
    <row r="161" spans="1:12" x14ac:dyDescent="0.3">
      <c r="A161" s="193"/>
      <c r="B161" s="195">
        <f>+B183</f>
        <v>-1552773</v>
      </c>
      <c r="C161" s="195">
        <f t="shared" ref="C161:E161" si="116">+C183</f>
        <v>-1121857</v>
      </c>
      <c r="D161" s="195">
        <f t="shared" si="116"/>
        <v>-1007888</v>
      </c>
      <c r="E161" s="195">
        <f t="shared" si="116"/>
        <v>-812078</v>
      </c>
      <c r="F161" s="195">
        <f>+F183-1</f>
        <v>-2749794</v>
      </c>
      <c r="L161" s="13"/>
    </row>
    <row r="162" spans="1:12" x14ac:dyDescent="0.3">
      <c r="A162" s="193"/>
      <c r="B162" s="195">
        <f>+B160+B161</f>
        <v>0</v>
      </c>
      <c r="C162" s="195">
        <f t="shared" ref="C162:F162" si="117">+C160+C161</f>
        <v>0</v>
      </c>
      <c r="D162" s="195">
        <f t="shared" si="117"/>
        <v>0</v>
      </c>
      <c r="E162" s="195">
        <f t="shared" si="117"/>
        <v>0</v>
      </c>
      <c r="F162" s="195">
        <f t="shared" si="117"/>
        <v>0</v>
      </c>
      <c r="L162" s="13"/>
    </row>
    <row r="163" spans="1:12" x14ac:dyDescent="0.3">
      <c r="A163" s="193"/>
      <c r="B163" s="195">
        <f>+B150+B124+B96+B71+B46+B21</f>
        <v>7534180</v>
      </c>
      <c r="C163" s="195">
        <f t="shared" ref="C163:K163" si="118">+C150+C124+C96+C71+C46+C21</f>
        <v>8408235</v>
      </c>
      <c r="D163" s="195">
        <f t="shared" si="118"/>
        <v>8777251</v>
      </c>
      <c r="E163" s="195">
        <f t="shared" si="118"/>
        <v>8710818</v>
      </c>
      <c r="F163" s="195">
        <f t="shared" si="118"/>
        <v>14715246</v>
      </c>
      <c r="G163" s="195">
        <f t="shared" si="118"/>
        <v>14543454.90390503</v>
      </c>
      <c r="H163" s="195">
        <f t="shared" si="118"/>
        <v>14411709.305708937</v>
      </c>
      <c r="I163" s="195">
        <f t="shared" si="118"/>
        <v>14246580.188389855</v>
      </c>
      <c r="J163" s="195">
        <f t="shared" si="118"/>
        <v>14116507.610612879</v>
      </c>
      <c r="K163" s="195">
        <f t="shared" si="118"/>
        <v>14110906.705902711</v>
      </c>
      <c r="L163" s="13"/>
    </row>
    <row r="164" spans="1:12" x14ac:dyDescent="0.3">
      <c r="A164" s="193"/>
      <c r="B164" s="195">
        <f>+'P&amp;L-SOFP-Ratios'!B33</f>
        <v>7534180</v>
      </c>
      <c r="C164" s="195">
        <f>+'P&amp;L-SOFP-Ratios'!C33</f>
        <v>8408235</v>
      </c>
      <c r="D164" s="195">
        <f>+'P&amp;L-SOFP-Ratios'!D33</f>
        <v>8777251</v>
      </c>
      <c r="E164" s="195">
        <f>+'P&amp;L-SOFP-Ratios'!E33</f>
        <v>8710818</v>
      </c>
      <c r="F164" s="195">
        <f>+'P&amp;L-SOFP-Ratios'!F33</f>
        <v>14715246</v>
      </c>
      <c r="G164" s="195">
        <f>+'P&amp;L-SOFP-Ratios'!G33</f>
        <v>14543454.90390503</v>
      </c>
      <c r="H164" s="195">
        <f>+'P&amp;L-SOFP-Ratios'!H33</f>
        <v>14411709.305708937</v>
      </c>
      <c r="I164" s="195">
        <f>+'P&amp;L-SOFP-Ratios'!I33</f>
        <v>14246580.188389855</v>
      </c>
      <c r="J164" s="195">
        <f>+'P&amp;L-SOFP-Ratios'!J33</f>
        <v>14116507.610612879</v>
      </c>
      <c r="K164" s="195">
        <f>+'P&amp;L-SOFP-Ratios'!K33</f>
        <v>14110906.705902711</v>
      </c>
      <c r="L164" s="13"/>
    </row>
    <row r="165" spans="1:12" x14ac:dyDescent="0.3">
      <c r="A165" s="193"/>
      <c r="B165" s="195">
        <f>+B163-B164</f>
        <v>0</v>
      </c>
      <c r="C165" s="195">
        <f t="shared" ref="C165:K165" si="119">+C163-C164</f>
        <v>0</v>
      </c>
      <c r="D165" s="195">
        <f t="shared" si="119"/>
        <v>0</v>
      </c>
      <c r="E165" s="195">
        <f t="shared" si="119"/>
        <v>0</v>
      </c>
      <c r="F165" s="195">
        <f t="shared" si="119"/>
        <v>0</v>
      </c>
      <c r="G165" s="195">
        <f t="shared" si="119"/>
        <v>0</v>
      </c>
      <c r="H165" s="195">
        <f t="shared" si="119"/>
        <v>0</v>
      </c>
      <c r="I165" s="195">
        <f t="shared" si="119"/>
        <v>0</v>
      </c>
      <c r="J165" s="195">
        <f t="shared" si="119"/>
        <v>0</v>
      </c>
      <c r="K165" s="195">
        <f t="shared" si="119"/>
        <v>0</v>
      </c>
      <c r="L165" s="13"/>
    </row>
    <row r="166" spans="1:12" x14ac:dyDescent="0.3">
      <c r="L166" s="13"/>
    </row>
    <row r="167" spans="1:12" x14ac:dyDescent="0.3">
      <c r="A167" s="128" t="s">
        <v>427</v>
      </c>
      <c r="L167" s="13"/>
    </row>
    <row r="168" spans="1:12" x14ac:dyDescent="0.3">
      <c r="A168" t="s">
        <v>392</v>
      </c>
      <c r="L168" s="13"/>
    </row>
    <row r="169" spans="1:12" x14ac:dyDescent="0.3">
      <c r="A169" t="s">
        <v>393</v>
      </c>
      <c r="L169" s="13"/>
    </row>
    <row r="170" spans="1:12" x14ac:dyDescent="0.3">
      <c r="A170" t="s">
        <v>394</v>
      </c>
      <c r="L170" s="13"/>
    </row>
    <row r="171" spans="1:12" x14ac:dyDescent="0.3">
      <c r="A171" t="s">
        <v>407</v>
      </c>
      <c r="L171" s="13"/>
    </row>
    <row r="172" spans="1:12" x14ac:dyDescent="0.3">
      <c r="A172" t="s">
        <v>408</v>
      </c>
      <c r="L172" s="13"/>
    </row>
    <row r="173" spans="1:12" x14ac:dyDescent="0.3">
      <c r="A173" t="s">
        <v>429</v>
      </c>
      <c r="L173" s="13"/>
    </row>
    <row r="174" spans="1:12" x14ac:dyDescent="0.3">
      <c r="A174" t="s">
        <v>430</v>
      </c>
      <c r="L174" s="13"/>
    </row>
    <row r="175" spans="1:12" x14ac:dyDescent="0.3">
      <c r="L175" s="13"/>
    </row>
    <row r="176" spans="1:12" x14ac:dyDescent="0.3">
      <c r="L176" s="13"/>
    </row>
    <row r="177" spans="1:12" x14ac:dyDescent="0.3">
      <c r="A177" s="198" t="s">
        <v>373</v>
      </c>
      <c r="B177" s="116"/>
      <c r="C177" s="116"/>
      <c r="D177" s="116"/>
      <c r="E177" s="116"/>
      <c r="F177" s="116"/>
      <c r="G177" s="116"/>
      <c r="H177" s="116"/>
      <c r="I177" s="116"/>
      <c r="J177" s="116"/>
      <c r="K177" s="116"/>
      <c r="L177" s="13"/>
    </row>
    <row r="178" spans="1:12" x14ac:dyDescent="0.3">
      <c r="A178" s="116" t="s">
        <v>328</v>
      </c>
      <c r="B178" s="116"/>
      <c r="C178" s="116"/>
      <c r="D178" s="116"/>
      <c r="E178" s="116"/>
      <c r="F178" s="116"/>
      <c r="G178" s="116"/>
      <c r="H178" s="116"/>
      <c r="I178" s="116"/>
      <c r="J178" s="116"/>
      <c r="K178" s="116"/>
      <c r="L178" s="13"/>
    </row>
    <row r="179" spans="1:12" x14ac:dyDescent="0.3">
      <c r="A179" s="116"/>
      <c r="B179" s="198">
        <v>2018</v>
      </c>
      <c r="C179" s="199">
        <v>2019</v>
      </c>
      <c r="D179" s="199">
        <v>2020</v>
      </c>
      <c r="E179" s="198">
        <v>2021</v>
      </c>
      <c r="F179" s="198">
        <v>2022</v>
      </c>
      <c r="G179" s="200">
        <v>2023</v>
      </c>
      <c r="H179" s="200">
        <v>2024</v>
      </c>
      <c r="I179" s="200">
        <v>2025</v>
      </c>
      <c r="J179" s="200">
        <v>2026</v>
      </c>
      <c r="K179" s="200">
        <v>2027</v>
      </c>
      <c r="L179" s="13"/>
    </row>
    <row r="180" spans="1:12" x14ac:dyDescent="0.3">
      <c r="A180" s="116" t="s">
        <v>374</v>
      </c>
      <c r="B180" s="197">
        <v>337800</v>
      </c>
      <c r="C180" s="197">
        <v>444541</v>
      </c>
      <c r="D180" s="197">
        <v>119098</v>
      </c>
      <c r="E180" s="197">
        <v>589511</v>
      </c>
      <c r="F180" s="197">
        <v>425281</v>
      </c>
      <c r="G180" s="197">
        <f>+F187</f>
        <v>5268720</v>
      </c>
      <c r="H180" s="197">
        <f>+G187</f>
        <v>5269704.6500000004</v>
      </c>
      <c r="I180" s="197">
        <f>+H187</f>
        <v>5249538.0300000012</v>
      </c>
      <c r="J180" s="197">
        <f>+I187</f>
        <v>5290426.6860000016</v>
      </c>
      <c r="K180" s="197">
        <f>+J187</f>
        <v>5240367.8732000021</v>
      </c>
      <c r="L180" s="13"/>
    </row>
    <row r="181" spans="1:12" x14ac:dyDescent="0.3">
      <c r="A181" s="93" t="s">
        <v>428</v>
      </c>
      <c r="B181" s="131">
        <v>1673005</v>
      </c>
      <c r="C181" s="131">
        <v>812944</v>
      </c>
      <c r="D181" s="131">
        <v>1461606</v>
      </c>
      <c r="E181" s="131">
        <v>715458</v>
      </c>
      <c r="F181" s="131">
        <v>5962561</v>
      </c>
      <c r="G181" s="131">
        <v>0</v>
      </c>
      <c r="H181" s="131">
        <v>0</v>
      </c>
      <c r="I181" s="131">
        <v>0</v>
      </c>
      <c r="J181" s="131">
        <v>0</v>
      </c>
      <c r="K181" s="131">
        <v>0</v>
      </c>
      <c r="L181" s="13"/>
    </row>
    <row r="182" spans="1:12" x14ac:dyDescent="0.3">
      <c r="A182" s="93" t="s">
        <v>375</v>
      </c>
      <c r="B182" s="131">
        <v>1673005</v>
      </c>
      <c r="C182" s="131">
        <v>812944</v>
      </c>
      <c r="D182" s="131">
        <v>1461606</v>
      </c>
      <c r="E182" s="131">
        <v>715458</v>
      </c>
      <c r="F182" s="131">
        <f>+AVERAGE(B181:E181)</f>
        <v>1165753.25</v>
      </c>
      <c r="G182" s="131">
        <f>+AVERAGE(B182:F182)</f>
        <v>1165753.25</v>
      </c>
      <c r="H182" s="131">
        <f t="shared" ref="H182:K182" si="120">+AVERAGE(C182:G182)</f>
        <v>1064302.8999999999</v>
      </c>
      <c r="I182" s="131">
        <f t="shared" si="120"/>
        <v>1114574.6800000002</v>
      </c>
      <c r="J182" s="131">
        <f t="shared" si="120"/>
        <v>1045168.416</v>
      </c>
      <c r="K182" s="131">
        <f t="shared" si="120"/>
        <v>1111110.4992</v>
      </c>
      <c r="L182" s="13"/>
    </row>
    <row r="183" spans="1:12" x14ac:dyDescent="0.3">
      <c r="A183" s="116" t="s">
        <v>415</v>
      </c>
      <c r="B183" s="197">
        <v>-1552773</v>
      </c>
      <c r="C183" s="197">
        <v>-1121857</v>
      </c>
      <c r="D183" s="197">
        <v>-1007888</v>
      </c>
      <c r="E183" s="197">
        <v>-812078</v>
      </c>
      <c r="F183" s="197">
        <v>-2749793</v>
      </c>
      <c r="G183" s="197">
        <f>-G160</f>
        <v>-1148702.5999999999</v>
      </c>
      <c r="H183" s="197">
        <f t="shared" ref="H183:K183" si="121">-H160</f>
        <v>-1067888.52</v>
      </c>
      <c r="I183" s="197">
        <f t="shared" si="121"/>
        <v>-1057094.824</v>
      </c>
      <c r="J183" s="197">
        <f t="shared" si="121"/>
        <v>-1071978.7888</v>
      </c>
      <c r="K183" s="197">
        <f t="shared" si="121"/>
        <v>-1123958.9465599998</v>
      </c>
      <c r="L183" s="13"/>
    </row>
    <row r="184" spans="1:12" x14ac:dyDescent="0.3">
      <c r="A184" s="116" t="s">
        <v>414</v>
      </c>
      <c r="B184" s="197">
        <v>-18843</v>
      </c>
      <c r="C184" s="197">
        <v>-57694</v>
      </c>
      <c r="D184" s="197">
        <v>-17172</v>
      </c>
      <c r="E184" s="197">
        <v>-87979</v>
      </c>
      <c r="F184" s="197">
        <v>-24582</v>
      </c>
      <c r="G184" s="197">
        <f>+AVERAGE(B184:F184)</f>
        <v>-41254</v>
      </c>
      <c r="H184" s="197">
        <f t="shared" ref="H184:K184" si="122">+AVERAGE(C184:G184)</f>
        <v>-45736.2</v>
      </c>
      <c r="I184" s="197">
        <f t="shared" si="122"/>
        <v>-43344.639999999999</v>
      </c>
      <c r="J184" s="197">
        <f t="shared" si="122"/>
        <v>-48579.168000000005</v>
      </c>
      <c r="K184" s="197">
        <f t="shared" si="122"/>
        <v>-40699.2016</v>
      </c>
      <c r="L184" s="13"/>
    </row>
    <row r="185" spans="1:12" x14ac:dyDescent="0.3">
      <c r="A185" s="116" t="s">
        <v>254</v>
      </c>
      <c r="B185" s="197">
        <v>5352</v>
      </c>
      <c r="C185" s="197">
        <v>41164</v>
      </c>
      <c r="D185" s="197">
        <v>33867</v>
      </c>
      <c r="E185" s="197">
        <v>20369</v>
      </c>
      <c r="F185" s="197">
        <v>1655253</v>
      </c>
      <c r="G185" s="197">
        <v>0</v>
      </c>
      <c r="H185" s="197">
        <v>0</v>
      </c>
      <c r="I185" s="197">
        <v>0</v>
      </c>
      <c r="J185" s="197">
        <v>0</v>
      </c>
      <c r="K185" s="197">
        <v>0</v>
      </c>
      <c r="L185" s="13"/>
    </row>
    <row r="186" spans="1:12" x14ac:dyDescent="0.3">
      <c r="A186" s="116" t="s">
        <v>412</v>
      </c>
      <c r="B186" s="197">
        <v>5352</v>
      </c>
      <c r="C186" s="197">
        <v>41164</v>
      </c>
      <c r="D186" s="197">
        <v>33867</v>
      </c>
      <c r="E186" s="197">
        <v>20369</v>
      </c>
      <c r="F186" s="197">
        <f>+AVERAGE(B186:E186)</f>
        <v>25188</v>
      </c>
      <c r="G186" s="197">
        <f>+AVERAGE(B186:F186)</f>
        <v>25188</v>
      </c>
      <c r="H186" s="197">
        <f t="shared" ref="H186:K186" si="123">+AVERAGE(C186:G186)</f>
        <v>29155.200000000001</v>
      </c>
      <c r="I186" s="197">
        <f t="shared" si="123"/>
        <v>26753.440000000002</v>
      </c>
      <c r="J186" s="197">
        <f t="shared" si="123"/>
        <v>25330.727999999999</v>
      </c>
      <c r="K186" s="197">
        <f t="shared" si="123"/>
        <v>26323.073599999996</v>
      </c>
      <c r="L186" s="13"/>
    </row>
    <row r="187" spans="1:12" x14ac:dyDescent="0.3">
      <c r="A187" s="81" t="s">
        <v>413</v>
      </c>
      <c r="B187" s="113">
        <v>444541</v>
      </c>
      <c r="C187" s="113">
        <v>119098</v>
      </c>
      <c r="D187" s="113">
        <v>589511</v>
      </c>
      <c r="E187" s="113">
        <v>425281</v>
      </c>
      <c r="F187" s="113">
        <v>5268720</v>
      </c>
      <c r="G187" s="113">
        <f>SUM(G180:G186)</f>
        <v>5269704.6500000004</v>
      </c>
      <c r="H187" s="113">
        <f t="shared" ref="H187:K187" si="124">SUM(H180:H186)</f>
        <v>5249538.0300000012</v>
      </c>
      <c r="I187" s="113">
        <f t="shared" si="124"/>
        <v>5290426.6860000016</v>
      </c>
      <c r="J187" s="113">
        <f t="shared" si="124"/>
        <v>5240367.8732000021</v>
      </c>
      <c r="K187" s="113">
        <f t="shared" si="124"/>
        <v>5213143.297840002</v>
      </c>
      <c r="L187" s="13"/>
    </row>
    <row r="188" spans="1:12" hidden="1" x14ac:dyDescent="0.3">
      <c r="L188" s="13"/>
    </row>
    <row r="189" spans="1:12" x14ac:dyDescent="0.3">
      <c r="L189" s="13"/>
    </row>
    <row r="190" spans="1:12" x14ac:dyDescent="0.3">
      <c r="B190" s="4">
        <f t="shared" ref="B190:E190" si="125">SUM(B180:B185)-B182</f>
        <v>444541</v>
      </c>
      <c r="C190" s="4">
        <f t="shared" si="125"/>
        <v>119098</v>
      </c>
      <c r="D190" s="4">
        <f t="shared" si="125"/>
        <v>589511</v>
      </c>
      <c r="E190" s="4">
        <f t="shared" si="125"/>
        <v>425281</v>
      </c>
      <c r="F190" s="4">
        <f>SUM(F180:F185)-F182</f>
        <v>5268720</v>
      </c>
      <c r="L190" s="13"/>
    </row>
    <row r="191" spans="1:12" x14ac:dyDescent="0.3">
      <c r="L191" s="13"/>
    </row>
    <row r="192" spans="1:12" x14ac:dyDescent="0.3">
      <c r="B192" s="4">
        <f t="shared" ref="B192:E192" si="126">+B187-B190</f>
        <v>0</v>
      </c>
      <c r="C192" s="4">
        <f t="shared" si="126"/>
        <v>0</v>
      </c>
      <c r="D192" s="4">
        <f t="shared" si="126"/>
        <v>0</v>
      </c>
      <c r="E192" s="4">
        <f t="shared" si="126"/>
        <v>0</v>
      </c>
      <c r="F192" s="4">
        <f>+F187-F190</f>
        <v>0</v>
      </c>
      <c r="L192" s="13"/>
    </row>
    <row r="193" spans="1:12" x14ac:dyDescent="0.3">
      <c r="A193" s="128" t="s">
        <v>426</v>
      </c>
      <c r="L193" s="13"/>
    </row>
    <row r="194" spans="1:12" x14ac:dyDescent="0.3">
      <c r="A194" t="s">
        <v>416</v>
      </c>
      <c r="L194" s="13"/>
    </row>
    <row r="195" spans="1:12" x14ac:dyDescent="0.3">
      <c r="A195" t="s">
        <v>420</v>
      </c>
      <c r="B195" s="4"/>
      <c r="L195" s="13"/>
    </row>
    <row r="196" spans="1:12" x14ac:dyDescent="0.3">
      <c r="A196" t="s">
        <v>421</v>
      </c>
      <c r="B196" s="4"/>
      <c r="L196" s="13"/>
    </row>
    <row r="197" spans="1:12" x14ac:dyDescent="0.3">
      <c r="A197" s="91" t="s">
        <v>422</v>
      </c>
      <c r="L197" s="13"/>
    </row>
    <row r="198" spans="1:12" x14ac:dyDescent="0.3">
      <c r="A198" s="91" t="s">
        <v>424</v>
      </c>
      <c r="L198" s="13"/>
    </row>
    <row r="199" spans="1:12" x14ac:dyDescent="0.3">
      <c r="A199" t="s">
        <v>425</v>
      </c>
      <c r="L199" s="13"/>
    </row>
    <row r="200" spans="1:12" x14ac:dyDescent="0.3">
      <c r="L200" s="13"/>
    </row>
    <row r="201" spans="1:12" x14ac:dyDescent="0.3">
      <c r="L201" s="13"/>
    </row>
    <row r="202" spans="1:12" x14ac:dyDescent="0.3">
      <c r="L202" s="13"/>
    </row>
    <row r="203" spans="1:12" x14ac:dyDescent="0.3">
      <c r="A203" s="211" t="s">
        <v>376</v>
      </c>
      <c r="B203" s="94"/>
      <c r="C203" s="94"/>
      <c r="D203" s="94"/>
      <c r="L203" s="13"/>
    </row>
    <row r="204" spans="1:12" x14ac:dyDescent="0.3">
      <c r="A204" s="94" t="s">
        <v>219</v>
      </c>
      <c r="B204" s="211" t="s">
        <v>84</v>
      </c>
      <c r="C204" s="211" t="s">
        <v>377</v>
      </c>
      <c r="D204" s="211" t="s">
        <v>181</v>
      </c>
      <c r="L204" s="13"/>
    </row>
    <row r="205" spans="1:12" x14ac:dyDescent="0.3">
      <c r="A205" s="211" t="s">
        <v>256</v>
      </c>
      <c r="B205" s="95"/>
      <c r="C205" s="95"/>
      <c r="D205" s="95"/>
      <c r="L205" s="13"/>
    </row>
    <row r="206" spans="1:12" x14ac:dyDescent="0.3">
      <c r="A206" s="94" t="s">
        <v>378</v>
      </c>
      <c r="B206" s="95">
        <v>50537</v>
      </c>
      <c r="C206" s="95">
        <v>65833</v>
      </c>
      <c r="D206" s="95">
        <v>116370</v>
      </c>
      <c r="L206" s="13"/>
    </row>
    <row r="207" spans="1:12" x14ac:dyDescent="0.3">
      <c r="A207" s="94" t="s">
        <v>417</v>
      </c>
      <c r="B207" s="95" t="s">
        <v>82</v>
      </c>
      <c r="C207" s="95">
        <v>18843</v>
      </c>
      <c r="D207" s="95">
        <v>18843</v>
      </c>
      <c r="E207" s="4">
        <f>+B184</f>
        <v>-18843</v>
      </c>
      <c r="F207" s="4">
        <f>+D207+E207</f>
        <v>0</v>
      </c>
      <c r="L207" s="13"/>
    </row>
    <row r="208" spans="1:12" x14ac:dyDescent="0.3">
      <c r="A208" s="94" t="s">
        <v>254</v>
      </c>
      <c r="B208" s="95">
        <v>575</v>
      </c>
      <c r="C208" s="95">
        <v>571</v>
      </c>
      <c r="D208" s="95">
        <v>1146</v>
      </c>
      <c r="L208" s="13"/>
    </row>
    <row r="209" spans="1:12" x14ac:dyDescent="0.3">
      <c r="A209" s="94" t="s">
        <v>419</v>
      </c>
      <c r="B209" s="95" t="s">
        <v>82</v>
      </c>
      <c r="C209" s="95">
        <v>-30789</v>
      </c>
      <c r="D209" s="95">
        <v>-30789</v>
      </c>
      <c r="L209" s="13"/>
    </row>
    <row r="210" spans="1:12" x14ac:dyDescent="0.3">
      <c r="A210" s="94" t="s">
        <v>196</v>
      </c>
      <c r="B210" s="95">
        <v>51112</v>
      </c>
      <c r="C210" s="95">
        <v>54458</v>
      </c>
      <c r="D210" s="95">
        <v>105570</v>
      </c>
      <c r="L210" s="13"/>
    </row>
    <row r="211" spans="1:12" x14ac:dyDescent="0.3">
      <c r="A211" s="212" t="s">
        <v>258</v>
      </c>
      <c r="B211" s="213"/>
      <c r="C211" s="213"/>
      <c r="D211" s="214"/>
      <c r="L211" s="13"/>
    </row>
    <row r="212" spans="1:12" x14ac:dyDescent="0.3">
      <c r="A212" s="215" t="s">
        <v>183</v>
      </c>
      <c r="B212" s="110">
        <v>51112</v>
      </c>
      <c r="C212" s="110">
        <v>492028</v>
      </c>
      <c r="D212" s="216">
        <v>543140</v>
      </c>
      <c r="L212" s="13"/>
    </row>
    <row r="213" spans="1:12" x14ac:dyDescent="0.3">
      <c r="A213" s="215" t="s">
        <v>379</v>
      </c>
      <c r="B213" s="110" t="s">
        <v>82</v>
      </c>
      <c r="C213" s="110">
        <v>-437570</v>
      </c>
      <c r="D213" s="216">
        <v>-437570</v>
      </c>
      <c r="L213" s="13"/>
    </row>
    <row r="214" spans="1:12" x14ac:dyDescent="0.3">
      <c r="A214" s="217" t="s">
        <v>185</v>
      </c>
      <c r="B214" s="218">
        <v>51112</v>
      </c>
      <c r="C214" s="218">
        <v>54458</v>
      </c>
      <c r="D214" s="219">
        <v>105570</v>
      </c>
      <c r="L214" s="13"/>
    </row>
    <row r="215" spans="1:12" x14ac:dyDescent="0.3">
      <c r="A215" s="94"/>
      <c r="B215" s="94"/>
      <c r="C215" s="94"/>
      <c r="D215" s="94"/>
      <c r="L215" s="13"/>
    </row>
    <row r="216" spans="1:12" x14ac:dyDescent="0.3">
      <c r="A216" s="211" t="s">
        <v>236</v>
      </c>
      <c r="B216" s="95"/>
      <c r="C216" s="95"/>
      <c r="D216" s="95"/>
      <c r="L216" s="13"/>
    </row>
    <row r="217" spans="1:12" x14ac:dyDescent="0.3">
      <c r="A217" s="94" t="s">
        <v>378</v>
      </c>
      <c r="B217" s="95">
        <v>51112</v>
      </c>
      <c r="C217" s="95">
        <v>54458</v>
      </c>
      <c r="D217" s="95">
        <v>105570</v>
      </c>
      <c r="L217" s="13"/>
    </row>
    <row r="218" spans="1:12" x14ac:dyDescent="0.3">
      <c r="A218" s="94" t="s">
        <v>417</v>
      </c>
      <c r="B218" s="95" t="s">
        <v>82</v>
      </c>
      <c r="C218" s="95">
        <v>57694</v>
      </c>
      <c r="D218" s="95">
        <v>57694</v>
      </c>
      <c r="E218" s="4">
        <f>+C184</f>
        <v>-57694</v>
      </c>
      <c r="F218" s="4">
        <f>+D218+E218</f>
        <v>0</v>
      </c>
      <c r="L218" s="13"/>
    </row>
    <row r="219" spans="1:12" x14ac:dyDescent="0.3">
      <c r="A219" s="220" t="s">
        <v>380</v>
      </c>
      <c r="B219" s="95"/>
      <c r="C219" s="95"/>
      <c r="D219" s="95"/>
      <c r="L219" s="13"/>
    </row>
    <row r="220" spans="1:12" x14ac:dyDescent="0.3">
      <c r="A220" s="94" t="s">
        <v>257</v>
      </c>
      <c r="B220" s="95" t="s">
        <v>82</v>
      </c>
      <c r="C220" s="95">
        <v>1917</v>
      </c>
      <c r="D220" s="95">
        <v>1917</v>
      </c>
      <c r="L220" s="13"/>
    </row>
    <row r="221" spans="1:12" x14ac:dyDescent="0.3">
      <c r="A221" s="94" t="s">
        <v>239</v>
      </c>
      <c r="B221" s="95" t="s">
        <v>82</v>
      </c>
      <c r="C221" s="95">
        <v>-1881</v>
      </c>
      <c r="D221" s="95">
        <v>-1881</v>
      </c>
      <c r="L221" s="13"/>
    </row>
    <row r="222" spans="1:12" x14ac:dyDescent="0.3">
      <c r="A222" s="94" t="s">
        <v>254</v>
      </c>
      <c r="B222" s="95">
        <v>6800</v>
      </c>
      <c r="C222" s="95">
        <v>8769</v>
      </c>
      <c r="D222" s="95">
        <v>15569</v>
      </c>
      <c r="L222" s="13"/>
    </row>
    <row r="223" spans="1:12" x14ac:dyDescent="0.3">
      <c r="A223" s="94" t="s">
        <v>419</v>
      </c>
      <c r="B223" s="95" t="s">
        <v>82</v>
      </c>
      <c r="C223" s="95">
        <v>-26636</v>
      </c>
      <c r="D223" s="95">
        <v>-26636</v>
      </c>
      <c r="L223" s="13"/>
    </row>
    <row r="224" spans="1:12" x14ac:dyDescent="0.3">
      <c r="A224" s="94" t="s">
        <v>196</v>
      </c>
      <c r="B224" s="95">
        <v>57912</v>
      </c>
      <c r="C224" s="95">
        <v>94321</v>
      </c>
      <c r="D224" s="95">
        <v>152233</v>
      </c>
      <c r="L224" s="13"/>
    </row>
    <row r="225" spans="1:12" x14ac:dyDescent="0.3">
      <c r="A225" s="212" t="s">
        <v>242</v>
      </c>
      <c r="B225" s="213"/>
      <c r="C225" s="213"/>
      <c r="D225" s="214"/>
      <c r="L225" s="13"/>
    </row>
    <row r="226" spans="1:12" x14ac:dyDescent="0.3">
      <c r="A226" s="215" t="s">
        <v>183</v>
      </c>
      <c r="B226" s="110">
        <v>57912</v>
      </c>
      <c r="C226" s="110">
        <v>620018</v>
      </c>
      <c r="D226" s="216">
        <v>677930</v>
      </c>
      <c r="L226" s="13"/>
    </row>
    <row r="227" spans="1:12" x14ac:dyDescent="0.3">
      <c r="A227" s="215" t="s">
        <v>379</v>
      </c>
      <c r="B227" s="110" t="s">
        <v>82</v>
      </c>
      <c r="C227" s="110">
        <v>-525697</v>
      </c>
      <c r="D227" s="216">
        <v>-525697</v>
      </c>
      <c r="L227" s="13"/>
    </row>
    <row r="228" spans="1:12" x14ac:dyDescent="0.3">
      <c r="A228" s="217" t="s">
        <v>185</v>
      </c>
      <c r="B228" s="218">
        <v>57912</v>
      </c>
      <c r="C228" s="218">
        <v>94321</v>
      </c>
      <c r="D228" s="219">
        <v>152233</v>
      </c>
      <c r="L228" s="13"/>
    </row>
    <row r="229" spans="1:12" x14ac:dyDescent="0.3">
      <c r="A229" s="94"/>
      <c r="B229" s="95"/>
      <c r="C229" s="95"/>
      <c r="D229" s="95"/>
      <c r="L229" s="13"/>
    </row>
    <row r="230" spans="1:12" x14ac:dyDescent="0.3">
      <c r="A230" s="211" t="s">
        <v>243</v>
      </c>
      <c r="B230" s="95"/>
      <c r="C230" s="95"/>
      <c r="D230" s="95"/>
      <c r="L230" s="13"/>
    </row>
    <row r="231" spans="1:12" x14ac:dyDescent="0.3">
      <c r="A231" s="94" t="s">
        <v>378</v>
      </c>
      <c r="B231" s="95">
        <v>57912</v>
      </c>
      <c r="C231" s="95">
        <v>94321</v>
      </c>
      <c r="D231" s="95">
        <v>152233</v>
      </c>
      <c r="L231" s="13"/>
    </row>
    <row r="232" spans="1:12" x14ac:dyDescent="0.3">
      <c r="A232" s="94" t="s">
        <v>417</v>
      </c>
      <c r="B232" s="95" t="s">
        <v>82</v>
      </c>
      <c r="C232" s="95">
        <v>17172</v>
      </c>
      <c r="D232" s="95">
        <v>17172</v>
      </c>
      <c r="E232" s="4">
        <f>+D184</f>
        <v>-17172</v>
      </c>
      <c r="F232" s="4">
        <f>+E232+D232</f>
        <v>0</v>
      </c>
      <c r="L232" s="13"/>
    </row>
    <row r="233" spans="1:12" x14ac:dyDescent="0.3">
      <c r="A233" s="94" t="s">
        <v>254</v>
      </c>
      <c r="B233" s="95">
        <v>4386</v>
      </c>
      <c r="C233" s="95">
        <v>5865</v>
      </c>
      <c r="D233" s="95">
        <v>10251</v>
      </c>
      <c r="L233" s="13"/>
    </row>
    <row r="234" spans="1:12" x14ac:dyDescent="0.3">
      <c r="A234" s="94" t="s">
        <v>419</v>
      </c>
      <c r="B234" s="95" t="s">
        <v>82</v>
      </c>
      <c r="C234" s="95">
        <v>-39632</v>
      </c>
      <c r="D234" s="95">
        <v>-39632</v>
      </c>
      <c r="L234" s="13"/>
    </row>
    <row r="235" spans="1:12" x14ac:dyDescent="0.3">
      <c r="A235" s="94" t="s">
        <v>196</v>
      </c>
      <c r="B235" s="95">
        <v>62298</v>
      </c>
      <c r="C235" s="95">
        <v>77726</v>
      </c>
      <c r="D235" s="95">
        <v>140024</v>
      </c>
      <c r="L235" s="13"/>
    </row>
    <row r="236" spans="1:12" x14ac:dyDescent="0.3">
      <c r="A236" s="212" t="s">
        <v>182</v>
      </c>
      <c r="B236" s="213"/>
      <c r="C236" s="213"/>
      <c r="D236" s="214"/>
      <c r="L236" s="13"/>
    </row>
    <row r="237" spans="1:12" x14ac:dyDescent="0.3">
      <c r="A237" s="215" t="s">
        <v>183</v>
      </c>
      <c r="B237" s="110">
        <v>62298</v>
      </c>
      <c r="C237" s="110">
        <v>685122</v>
      </c>
      <c r="D237" s="216">
        <v>747420</v>
      </c>
      <c r="L237" s="13"/>
    </row>
    <row r="238" spans="1:12" x14ac:dyDescent="0.3">
      <c r="A238" s="215" t="s">
        <v>379</v>
      </c>
      <c r="B238" s="110" t="s">
        <v>82</v>
      </c>
      <c r="C238" s="110">
        <v>-607396</v>
      </c>
      <c r="D238" s="216">
        <v>-607396</v>
      </c>
      <c r="E238" s="4"/>
      <c r="L238" s="13"/>
    </row>
    <row r="239" spans="1:12" x14ac:dyDescent="0.3">
      <c r="A239" s="217" t="s">
        <v>185</v>
      </c>
      <c r="B239" s="218">
        <v>62298</v>
      </c>
      <c r="C239" s="218">
        <v>77726</v>
      </c>
      <c r="D239" s="219">
        <v>140024</v>
      </c>
      <c r="L239" s="13"/>
    </row>
    <row r="240" spans="1:12" x14ac:dyDescent="0.3">
      <c r="A240" s="94"/>
      <c r="B240" s="94"/>
      <c r="C240" s="94"/>
      <c r="D240" s="94"/>
      <c r="L240" s="13"/>
    </row>
    <row r="241" spans="1:12" x14ac:dyDescent="0.3">
      <c r="A241" s="211" t="s">
        <v>186</v>
      </c>
      <c r="B241" s="95"/>
      <c r="C241" s="95"/>
      <c r="D241" s="95"/>
      <c r="L241" s="13"/>
    </row>
    <row r="242" spans="1:12" x14ac:dyDescent="0.3">
      <c r="A242" s="94" t="s">
        <v>378</v>
      </c>
      <c r="B242" s="95">
        <v>62298</v>
      </c>
      <c r="C242" s="95">
        <v>77726</v>
      </c>
      <c r="D242" s="95">
        <v>140024</v>
      </c>
      <c r="L242" s="13"/>
    </row>
    <row r="243" spans="1:12" x14ac:dyDescent="0.3">
      <c r="A243" s="94" t="s">
        <v>417</v>
      </c>
      <c r="B243" s="95" t="s">
        <v>82</v>
      </c>
      <c r="C243" s="95">
        <v>87979</v>
      </c>
      <c r="D243" s="95">
        <v>87979</v>
      </c>
      <c r="E243" s="4">
        <f>+E184</f>
        <v>-87979</v>
      </c>
      <c r="F243" s="4">
        <f>+D243+E243</f>
        <v>0</v>
      </c>
      <c r="L243" s="13"/>
    </row>
    <row r="244" spans="1:12" x14ac:dyDescent="0.3">
      <c r="A244" s="94" t="s">
        <v>254</v>
      </c>
      <c r="B244" s="95">
        <v>3411</v>
      </c>
      <c r="C244" s="95">
        <v>6892</v>
      </c>
      <c r="D244" s="95">
        <v>10303</v>
      </c>
      <c r="L244" s="13"/>
    </row>
    <row r="245" spans="1:12" x14ac:dyDescent="0.3">
      <c r="A245" s="94" t="s">
        <v>419</v>
      </c>
      <c r="B245" s="95" t="s">
        <v>82</v>
      </c>
      <c r="C245" s="95">
        <v>-47145</v>
      </c>
      <c r="D245" s="95">
        <v>-47145</v>
      </c>
      <c r="L245" s="13"/>
    </row>
    <row r="246" spans="1:12" x14ac:dyDescent="0.3">
      <c r="A246" s="94" t="s">
        <v>196</v>
      </c>
      <c r="B246" s="95">
        <v>65709</v>
      </c>
      <c r="C246" s="95">
        <v>125452</v>
      </c>
      <c r="D246" s="95">
        <v>191161</v>
      </c>
      <c r="L246" s="13"/>
    </row>
    <row r="247" spans="1:12" x14ac:dyDescent="0.3">
      <c r="A247" s="212" t="s">
        <v>197</v>
      </c>
      <c r="B247" s="213"/>
      <c r="C247" s="213"/>
      <c r="D247" s="214"/>
      <c r="L247" s="13"/>
    </row>
    <row r="248" spans="1:12" x14ac:dyDescent="0.3">
      <c r="A248" s="215" t="s">
        <v>183</v>
      </c>
      <c r="B248" s="110">
        <v>65709</v>
      </c>
      <c r="C248" s="110">
        <v>816297</v>
      </c>
      <c r="D248" s="216">
        <v>882006</v>
      </c>
      <c r="L248" s="13"/>
    </row>
    <row r="249" spans="1:12" x14ac:dyDescent="0.3">
      <c r="A249" s="215" t="s">
        <v>379</v>
      </c>
      <c r="B249" s="110" t="s">
        <v>82</v>
      </c>
      <c r="C249" s="110">
        <v>-690845</v>
      </c>
      <c r="D249" s="216">
        <v>-690845</v>
      </c>
      <c r="L249" s="13"/>
    </row>
    <row r="250" spans="1:12" x14ac:dyDescent="0.3">
      <c r="A250" s="217" t="s">
        <v>185</v>
      </c>
      <c r="B250" s="218">
        <v>65709</v>
      </c>
      <c r="C250" s="218">
        <v>125452</v>
      </c>
      <c r="D250" s="219">
        <v>191161</v>
      </c>
      <c r="L250" s="13"/>
    </row>
    <row r="251" spans="1:12" x14ac:dyDescent="0.3">
      <c r="A251" s="211" t="s">
        <v>198</v>
      </c>
      <c r="B251" s="95"/>
      <c r="C251" s="95"/>
      <c r="D251" s="95"/>
      <c r="L251" s="13"/>
    </row>
    <row r="252" spans="1:12" x14ac:dyDescent="0.3">
      <c r="A252" s="94" t="s">
        <v>378</v>
      </c>
      <c r="B252" s="95">
        <v>65709</v>
      </c>
      <c r="C252" s="95">
        <v>125452</v>
      </c>
      <c r="D252" s="95">
        <v>191161</v>
      </c>
      <c r="L252" s="13"/>
    </row>
    <row r="253" spans="1:12" x14ac:dyDescent="0.3">
      <c r="A253" s="94" t="s">
        <v>417</v>
      </c>
      <c r="B253" s="95" t="s">
        <v>82</v>
      </c>
      <c r="C253" s="95">
        <v>24582</v>
      </c>
      <c r="D253" s="95">
        <v>24582</v>
      </c>
      <c r="E253" s="4">
        <f>+F184</f>
        <v>-24582</v>
      </c>
      <c r="F253" s="4">
        <f>+D253+E253</f>
        <v>0</v>
      </c>
      <c r="L253" s="13"/>
    </row>
    <row r="254" spans="1:12" x14ac:dyDescent="0.3">
      <c r="A254" s="94" t="s">
        <v>254</v>
      </c>
      <c r="B254" s="95">
        <v>30301</v>
      </c>
      <c r="C254" s="95">
        <v>45319</v>
      </c>
      <c r="D254" s="95">
        <v>75620</v>
      </c>
      <c r="L254" s="13"/>
    </row>
    <row r="255" spans="1:12" x14ac:dyDescent="0.3">
      <c r="A255" s="94" t="s">
        <v>419</v>
      </c>
      <c r="B255" s="95" t="s">
        <v>82</v>
      </c>
      <c r="C255" s="95">
        <v>-51962</v>
      </c>
      <c r="D255" s="95">
        <v>-51962</v>
      </c>
      <c r="L255" s="13"/>
    </row>
    <row r="256" spans="1:12" x14ac:dyDescent="0.3">
      <c r="A256" s="94" t="s">
        <v>196</v>
      </c>
      <c r="B256" s="95">
        <v>96010</v>
      </c>
      <c r="C256" s="95">
        <v>143391</v>
      </c>
      <c r="D256" s="95">
        <v>239401</v>
      </c>
      <c r="L256" s="13"/>
    </row>
    <row r="257" spans="1:12" x14ac:dyDescent="0.3">
      <c r="A257" s="212" t="s">
        <v>199</v>
      </c>
      <c r="B257" s="213"/>
      <c r="C257" s="213"/>
      <c r="D257" s="214"/>
      <c r="L257" s="13"/>
    </row>
    <row r="258" spans="1:12" x14ac:dyDescent="0.3">
      <c r="A258" s="94" t="s">
        <v>183</v>
      </c>
      <c r="B258" s="95">
        <v>96010</v>
      </c>
      <c r="C258" s="95">
        <v>1228554</v>
      </c>
      <c r="D258" s="95">
        <v>1324564</v>
      </c>
      <c r="F258" s="4"/>
      <c r="L258" s="13"/>
    </row>
    <row r="259" spans="1:12" x14ac:dyDescent="0.3">
      <c r="A259" s="94" t="s">
        <v>379</v>
      </c>
      <c r="B259" s="95" t="s">
        <v>82</v>
      </c>
      <c r="C259" s="95">
        <v>-1085163</v>
      </c>
      <c r="D259" s="95">
        <v>-1085163</v>
      </c>
      <c r="E259" s="4"/>
      <c r="L259" s="13"/>
    </row>
    <row r="260" spans="1:12" x14ac:dyDescent="0.3">
      <c r="A260" s="94" t="s">
        <v>185</v>
      </c>
      <c r="B260" s="218">
        <v>96010</v>
      </c>
      <c r="C260" s="218">
        <v>143391</v>
      </c>
      <c r="D260" s="219">
        <v>239401</v>
      </c>
      <c r="E260" s="4">
        <f>+C258+C259</f>
        <v>143391</v>
      </c>
      <c r="L260" s="13"/>
    </row>
    <row r="261" spans="1:12" x14ac:dyDescent="0.3">
      <c r="A261" s="94"/>
      <c r="B261" s="110"/>
      <c r="C261" s="110"/>
      <c r="D261" s="110"/>
      <c r="L261" s="13"/>
    </row>
    <row r="262" spans="1:12" x14ac:dyDescent="0.3">
      <c r="A262" s="205" t="s">
        <v>382</v>
      </c>
      <c r="B262" s="202"/>
      <c r="C262" s="202"/>
      <c r="D262" s="202"/>
      <c r="L262" s="13"/>
    </row>
    <row r="263" spans="1:12" x14ac:dyDescent="0.3">
      <c r="A263" s="201" t="s">
        <v>378</v>
      </c>
      <c r="B263" s="202">
        <f>+B256</f>
        <v>96010</v>
      </c>
      <c r="C263" s="202">
        <f>+C256</f>
        <v>143391</v>
      </c>
      <c r="D263" s="202">
        <f>+B263+C263</f>
        <v>239401</v>
      </c>
      <c r="L263" s="13"/>
    </row>
    <row r="264" spans="1:12" x14ac:dyDescent="0.3">
      <c r="A264" s="201" t="s">
        <v>417</v>
      </c>
      <c r="B264" s="202" t="s">
        <v>82</v>
      </c>
      <c r="C264" s="202">
        <f>-G184</f>
        <v>41254</v>
      </c>
      <c r="D264" s="202">
        <f>+C264</f>
        <v>41254</v>
      </c>
      <c r="L264" s="13"/>
    </row>
    <row r="265" spans="1:12" x14ac:dyDescent="0.3">
      <c r="A265" s="201" t="s">
        <v>254</v>
      </c>
      <c r="B265" s="202">
        <f>+G318</f>
        <v>3909.7803952456416</v>
      </c>
      <c r="C265" s="202">
        <f>+G320</f>
        <v>5407.4696047543584</v>
      </c>
      <c r="D265" s="202">
        <f t="shared" ref="D265:D314" si="127">+B265+C265</f>
        <v>9317.25</v>
      </c>
      <c r="L265" s="13"/>
    </row>
    <row r="266" spans="1:12" x14ac:dyDescent="0.3">
      <c r="A266" s="201" t="s">
        <v>419</v>
      </c>
      <c r="B266" s="202" t="s">
        <v>82</v>
      </c>
      <c r="C266" s="202">
        <f>-G332</f>
        <v>-39232.800000000003</v>
      </c>
      <c r="D266" s="202">
        <f>+C266</f>
        <v>-39232.800000000003</v>
      </c>
      <c r="L266" s="13"/>
    </row>
    <row r="267" spans="1:12" x14ac:dyDescent="0.3">
      <c r="A267" s="201" t="s">
        <v>196</v>
      </c>
      <c r="B267" s="202">
        <f>SUM(B263:B266)</f>
        <v>99919.780395245645</v>
      </c>
      <c r="C267" s="203">
        <f t="shared" ref="C267:D267" si="128">SUM(C263:C266)</f>
        <v>150819.66960475437</v>
      </c>
      <c r="D267" s="203">
        <f t="shared" si="128"/>
        <v>250739.45</v>
      </c>
      <c r="L267" s="13"/>
    </row>
    <row r="268" spans="1:12" x14ac:dyDescent="0.3">
      <c r="A268" s="206" t="s">
        <v>383</v>
      </c>
      <c r="B268" s="207"/>
      <c r="C268" s="208"/>
      <c r="D268" s="202"/>
      <c r="L268" s="13"/>
    </row>
    <row r="269" spans="1:12" x14ac:dyDescent="0.3">
      <c r="A269" s="209" t="s">
        <v>183</v>
      </c>
      <c r="B269" s="208">
        <f>+B267</f>
        <v>99919.780395245645</v>
      </c>
      <c r="C269" s="208">
        <f>+C271-C270</f>
        <v>1275215.4696047544</v>
      </c>
      <c r="D269" s="202">
        <f t="shared" si="127"/>
        <v>1375135.25</v>
      </c>
      <c r="L269" s="13"/>
    </row>
    <row r="270" spans="1:12" x14ac:dyDescent="0.3">
      <c r="A270" s="209" t="s">
        <v>379</v>
      </c>
      <c r="B270" s="202" t="s">
        <v>82</v>
      </c>
      <c r="C270" s="208">
        <f>+C266+C259</f>
        <v>-1124395.8</v>
      </c>
      <c r="D270" s="202">
        <f>+C270</f>
        <v>-1124395.8</v>
      </c>
      <c r="L270" s="13"/>
    </row>
    <row r="271" spans="1:12" x14ac:dyDescent="0.3">
      <c r="A271" s="210" t="s">
        <v>185</v>
      </c>
      <c r="B271" s="203">
        <f>SUM(B269:B270)</f>
        <v>99919.780395245645</v>
      </c>
      <c r="C271" s="203">
        <f>+C267</f>
        <v>150819.66960475437</v>
      </c>
      <c r="D271" s="203">
        <f t="shared" si="127"/>
        <v>250739.45</v>
      </c>
      <c r="E271" s="4">
        <f>+D269+D270</f>
        <v>250739.44999999995</v>
      </c>
      <c r="F271" s="4">
        <f>+C269+C270</f>
        <v>150819.66960475431</v>
      </c>
      <c r="L271" s="13"/>
    </row>
    <row r="272" spans="1:12" x14ac:dyDescent="0.3">
      <c r="A272" s="201"/>
      <c r="B272" s="201"/>
      <c r="C272" s="201"/>
      <c r="D272" s="202">
        <f t="shared" si="127"/>
        <v>0</v>
      </c>
      <c r="L272" s="13"/>
    </row>
    <row r="273" spans="1:12" x14ac:dyDescent="0.3">
      <c r="A273" s="205" t="s">
        <v>384</v>
      </c>
      <c r="B273" s="202"/>
      <c r="C273" s="202"/>
      <c r="D273" s="202">
        <f t="shared" si="127"/>
        <v>0</v>
      </c>
      <c r="L273" s="13"/>
    </row>
    <row r="274" spans="1:12" x14ac:dyDescent="0.3">
      <c r="A274" s="201" t="s">
        <v>378</v>
      </c>
      <c r="B274" s="202">
        <f>+B267</f>
        <v>99919.780395245645</v>
      </c>
      <c r="C274" s="202">
        <f>+C267</f>
        <v>150819.66960475437</v>
      </c>
      <c r="D274" s="202">
        <f t="shared" si="127"/>
        <v>250739.45</v>
      </c>
      <c r="L274" s="13"/>
    </row>
    <row r="275" spans="1:12" x14ac:dyDescent="0.3">
      <c r="A275" s="201" t="s">
        <v>417</v>
      </c>
      <c r="B275" s="202" t="s">
        <v>82</v>
      </c>
      <c r="C275" s="202">
        <f>-H184</f>
        <v>45736.2</v>
      </c>
      <c r="D275" s="202">
        <f>+C275</f>
        <v>45736.2</v>
      </c>
      <c r="L275" s="13"/>
    </row>
    <row r="276" spans="1:12" x14ac:dyDescent="0.3">
      <c r="A276" s="201" t="s">
        <v>254</v>
      </c>
      <c r="B276" s="202">
        <f>+H318</f>
        <v>4415.6967292560175</v>
      </c>
      <c r="C276" s="202">
        <f>+H320</f>
        <v>6535.8032707439797</v>
      </c>
      <c r="D276" s="202">
        <f t="shared" si="127"/>
        <v>10951.499999999996</v>
      </c>
      <c r="L276" s="13"/>
    </row>
    <row r="277" spans="1:12" x14ac:dyDescent="0.3">
      <c r="A277" s="201" t="s">
        <v>419</v>
      </c>
      <c r="B277" s="202" t="s">
        <v>82</v>
      </c>
      <c r="C277" s="202">
        <f>-H332</f>
        <v>-40921.56</v>
      </c>
      <c r="D277" s="202">
        <f>+C277</f>
        <v>-40921.56</v>
      </c>
      <c r="L277" s="13"/>
    </row>
    <row r="278" spans="1:12" x14ac:dyDescent="0.3">
      <c r="A278" s="201" t="s">
        <v>196</v>
      </c>
      <c r="B278" s="202">
        <f>SUM(B274:B277)</f>
        <v>104335.47712450166</v>
      </c>
      <c r="C278" s="203">
        <f>SUM(C274:C277)</f>
        <v>162170.11287549837</v>
      </c>
      <c r="D278" s="203">
        <f>+B278+C278</f>
        <v>266505.59000000003</v>
      </c>
      <c r="L278" s="13"/>
    </row>
    <row r="279" spans="1:12" x14ac:dyDescent="0.3">
      <c r="A279" s="206" t="s">
        <v>385</v>
      </c>
      <c r="B279" s="207"/>
      <c r="C279" s="208"/>
      <c r="D279" s="202">
        <f t="shared" si="127"/>
        <v>0</v>
      </c>
      <c r="L279" s="13"/>
    </row>
    <row r="280" spans="1:12" x14ac:dyDescent="0.3">
      <c r="A280" s="209" t="s">
        <v>183</v>
      </c>
      <c r="B280" s="208">
        <f>+B278</f>
        <v>104335.47712450166</v>
      </c>
      <c r="C280" s="208">
        <f>+C282-C281</f>
        <v>1240829.7128754985</v>
      </c>
      <c r="D280" s="202">
        <f t="shared" si="127"/>
        <v>1345165.1900000002</v>
      </c>
      <c r="L280" s="13"/>
    </row>
    <row r="281" spans="1:12" x14ac:dyDescent="0.3">
      <c r="A281" s="209" t="s">
        <v>379</v>
      </c>
      <c r="B281" s="202" t="s">
        <v>82</v>
      </c>
      <c r="C281" s="208">
        <f>+C270+C275</f>
        <v>-1078659.6000000001</v>
      </c>
      <c r="D281" s="202">
        <f>+C281</f>
        <v>-1078659.6000000001</v>
      </c>
      <c r="L281" s="13"/>
    </row>
    <row r="282" spans="1:12" x14ac:dyDescent="0.3">
      <c r="A282" s="210" t="s">
        <v>185</v>
      </c>
      <c r="B282" s="203">
        <f>SUM(B280:B281)</f>
        <v>104335.47712450166</v>
      </c>
      <c r="C282" s="203">
        <f>+C278</f>
        <v>162170.11287549837</v>
      </c>
      <c r="D282" s="203">
        <f t="shared" si="127"/>
        <v>266505.59000000003</v>
      </c>
      <c r="E282" s="4">
        <f>+C280+C281</f>
        <v>162170.11287549837</v>
      </c>
      <c r="L282" s="13"/>
    </row>
    <row r="283" spans="1:12" x14ac:dyDescent="0.3">
      <c r="A283" s="201"/>
      <c r="B283" s="202"/>
      <c r="C283" s="202"/>
      <c r="D283" s="202">
        <f t="shared" si="127"/>
        <v>0</v>
      </c>
      <c r="L283" s="13"/>
    </row>
    <row r="284" spans="1:12" x14ac:dyDescent="0.3">
      <c r="A284" s="205" t="s">
        <v>386</v>
      </c>
      <c r="B284" s="202"/>
      <c r="C284" s="202"/>
      <c r="D284" s="202">
        <f t="shared" si="127"/>
        <v>0</v>
      </c>
      <c r="L284" s="13"/>
    </row>
    <row r="285" spans="1:12" x14ac:dyDescent="0.3">
      <c r="A285" s="201" t="s">
        <v>378</v>
      </c>
      <c r="B285" s="202">
        <f>+B278</f>
        <v>104335.47712450166</v>
      </c>
      <c r="C285" s="202">
        <f>+C278</f>
        <v>162170.11287549837</v>
      </c>
      <c r="D285" s="202">
        <f t="shared" si="127"/>
        <v>266505.59000000003</v>
      </c>
      <c r="L285" s="13"/>
    </row>
    <row r="286" spans="1:12" x14ac:dyDescent="0.3">
      <c r="A286" s="201" t="s">
        <v>417</v>
      </c>
      <c r="B286" s="202" t="s">
        <v>82</v>
      </c>
      <c r="C286" s="202">
        <f>-I184</f>
        <v>43344.639999999999</v>
      </c>
      <c r="D286" s="202">
        <f>+C286</f>
        <v>43344.639999999999</v>
      </c>
      <c r="L286" s="13"/>
    </row>
    <row r="287" spans="1:12" x14ac:dyDescent="0.3">
      <c r="A287" s="201" t="s">
        <v>254</v>
      </c>
      <c r="B287" s="202">
        <f>+I318</f>
        <v>3976.0279600949843</v>
      </c>
      <c r="C287" s="202">
        <f>+I320</f>
        <v>6051.9720399050148</v>
      </c>
      <c r="D287" s="202">
        <f t="shared" si="127"/>
        <v>10028</v>
      </c>
      <c r="L287" s="13"/>
    </row>
    <row r="288" spans="1:12" x14ac:dyDescent="0.3">
      <c r="A288" s="201" t="s">
        <v>419</v>
      </c>
      <c r="B288" s="202" t="s">
        <v>82</v>
      </c>
      <c r="C288" s="202">
        <f>-I332</f>
        <v>-43778.671999999999</v>
      </c>
      <c r="D288" s="202">
        <f>+C288</f>
        <v>-43778.671999999999</v>
      </c>
      <c r="L288" s="13"/>
    </row>
    <row r="289" spans="1:12" x14ac:dyDescent="0.3">
      <c r="A289" s="201" t="s">
        <v>196</v>
      </c>
      <c r="B289" s="202">
        <f>SUM(B285:B288)</f>
        <v>108311.50508459665</v>
      </c>
      <c r="C289" s="203">
        <f>SUM(C285:C288)</f>
        <v>167788.05291540342</v>
      </c>
      <c r="D289" s="203">
        <f t="shared" si="127"/>
        <v>276099.55800000008</v>
      </c>
      <c r="L289" s="13"/>
    </row>
    <row r="290" spans="1:12" x14ac:dyDescent="0.3">
      <c r="A290" s="206" t="s">
        <v>387</v>
      </c>
      <c r="B290" s="207"/>
      <c r="C290" s="208"/>
      <c r="D290" s="202">
        <f t="shared" si="127"/>
        <v>0</v>
      </c>
      <c r="L290" s="13"/>
    </row>
    <row r="291" spans="1:12" x14ac:dyDescent="0.3">
      <c r="A291" s="209" t="s">
        <v>183</v>
      </c>
      <c r="B291" s="208">
        <f>+B289</f>
        <v>108311.50508459665</v>
      </c>
      <c r="C291" s="208">
        <f>+C293-C292</f>
        <v>1203103.0129154036</v>
      </c>
      <c r="D291" s="202">
        <f t="shared" si="127"/>
        <v>1311414.5180000002</v>
      </c>
      <c r="L291" s="13"/>
    </row>
    <row r="292" spans="1:12" x14ac:dyDescent="0.3">
      <c r="A292" s="209" t="s">
        <v>379</v>
      </c>
      <c r="B292" s="202" t="s">
        <v>82</v>
      </c>
      <c r="C292" s="208">
        <f>+C281+C286</f>
        <v>-1035314.9600000001</v>
      </c>
      <c r="D292" s="202">
        <f>+C292</f>
        <v>-1035314.9600000001</v>
      </c>
      <c r="L292" s="13"/>
    </row>
    <row r="293" spans="1:12" x14ac:dyDescent="0.3">
      <c r="A293" s="210" t="s">
        <v>185</v>
      </c>
      <c r="B293" s="203">
        <f>SUM(B291:B292)</f>
        <v>108311.50508459665</v>
      </c>
      <c r="C293" s="203">
        <f>+C289</f>
        <v>167788.05291540342</v>
      </c>
      <c r="D293" s="203">
        <f t="shared" si="127"/>
        <v>276099.55800000008</v>
      </c>
      <c r="L293" s="13"/>
    </row>
    <row r="294" spans="1:12" x14ac:dyDescent="0.3">
      <c r="A294" s="201"/>
      <c r="B294" s="201"/>
      <c r="C294" s="201"/>
      <c r="D294" s="202">
        <f t="shared" si="127"/>
        <v>0</v>
      </c>
      <c r="L294" s="13"/>
    </row>
    <row r="295" spans="1:12" x14ac:dyDescent="0.3">
      <c r="A295" s="205" t="s">
        <v>388</v>
      </c>
      <c r="B295" s="202"/>
      <c r="C295" s="202"/>
      <c r="D295" s="202">
        <f t="shared" si="127"/>
        <v>0</v>
      </c>
      <c r="L295" s="13"/>
    </row>
    <row r="296" spans="1:12" x14ac:dyDescent="0.3">
      <c r="A296" s="201" t="s">
        <v>378</v>
      </c>
      <c r="B296" s="202">
        <f>+B289</f>
        <v>108311.50508459665</v>
      </c>
      <c r="C296" s="202">
        <f>+C289</f>
        <v>167788.05291540342</v>
      </c>
      <c r="D296" s="202">
        <f t="shared" si="127"/>
        <v>276099.55800000008</v>
      </c>
      <c r="L296" s="13"/>
    </row>
    <row r="297" spans="1:12" x14ac:dyDescent="0.3">
      <c r="A297" s="201" t="s">
        <v>417</v>
      </c>
      <c r="B297" s="202" t="s">
        <v>82</v>
      </c>
      <c r="C297" s="202">
        <f>-J184</f>
        <v>48579.168000000005</v>
      </c>
      <c r="D297" s="202">
        <f>+C297</f>
        <v>48579.168000000005</v>
      </c>
      <c r="L297" s="13"/>
    </row>
    <row r="298" spans="1:12" x14ac:dyDescent="0.3">
      <c r="A298" s="201" t="s">
        <v>254</v>
      </c>
      <c r="B298" s="202">
        <f>+J318</f>
        <v>3895.7123717467302</v>
      </c>
      <c r="C298" s="202">
        <f>+J320</f>
        <v>6087.6876282532685</v>
      </c>
      <c r="D298" s="202">
        <f t="shared" si="127"/>
        <v>9983.3999999999978</v>
      </c>
      <c r="L298" s="13"/>
    </row>
    <row r="299" spans="1:12" x14ac:dyDescent="0.3">
      <c r="A299" s="201" t="s">
        <v>419</v>
      </c>
      <c r="B299" s="202" t="s">
        <v>82</v>
      </c>
      <c r="C299" s="202">
        <f>-J332</f>
        <v>-44608.006399999998</v>
      </c>
      <c r="D299" s="202">
        <f>+C299</f>
        <v>-44608.006399999998</v>
      </c>
      <c r="L299" s="13"/>
    </row>
    <row r="300" spans="1:12" x14ac:dyDescent="0.3">
      <c r="A300" s="201" t="s">
        <v>196</v>
      </c>
      <c r="B300" s="202">
        <f>SUM(B296:B299)</f>
        <v>112207.21745634338</v>
      </c>
      <c r="C300" s="202">
        <f>SUM(C296:C299)</f>
        <v>177846.90214365668</v>
      </c>
      <c r="D300" s="203">
        <f t="shared" si="127"/>
        <v>290054.11960000009</v>
      </c>
      <c r="L300" s="13"/>
    </row>
    <row r="301" spans="1:12" x14ac:dyDescent="0.3">
      <c r="A301" s="206" t="s">
        <v>390</v>
      </c>
      <c r="B301" s="207"/>
      <c r="C301" s="207"/>
      <c r="D301" s="202">
        <f t="shared" si="127"/>
        <v>0</v>
      </c>
      <c r="L301" s="13"/>
    </row>
    <row r="302" spans="1:12" x14ac:dyDescent="0.3">
      <c r="A302" s="209" t="s">
        <v>183</v>
      </c>
      <c r="B302" s="208">
        <f>+B300</f>
        <v>112207.21745634338</v>
      </c>
      <c r="C302" s="208">
        <f>+C304-C303</f>
        <v>1257769.8685436568</v>
      </c>
      <c r="D302" s="202">
        <f t="shared" si="127"/>
        <v>1369977.0860000001</v>
      </c>
      <c r="L302" s="13"/>
    </row>
    <row r="303" spans="1:12" x14ac:dyDescent="0.3">
      <c r="A303" s="209" t="s">
        <v>379</v>
      </c>
      <c r="B303" s="202" t="s">
        <v>82</v>
      </c>
      <c r="C303" s="208">
        <f>+C292+C299</f>
        <v>-1079922.9664</v>
      </c>
      <c r="D303" s="202">
        <f>+C303</f>
        <v>-1079922.9664</v>
      </c>
      <c r="L303" s="13"/>
    </row>
    <row r="304" spans="1:12" x14ac:dyDescent="0.3">
      <c r="A304" s="210" t="s">
        <v>185</v>
      </c>
      <c r="B304" s="203">
        <f>SUM(B302:B303)</f>
        <v>112207.21745634338</v>
      </c>
      <c r="C304" s="203">
        <f>+C300</f>
        <v>177846.90214365668</v>
      </c>
      <c r="D304" s="203">
        <f t="shared" si="127"/>
        <v>290054.11960000009</v>
      </c>
      <c r="E304" s="4">
        <f>+C302+C303</f>
        <v>177846.90214365674</v>
      </c>
      <c r="L304" s="13"/>
    </row>
    <row r="305" spans="1:12" x14ac:dyDescent="0.3">
      <c r="A305" s="205" t="s">
        <v>389</v>
      </c>
      <c r="B305" s="202"/>
      <c r="C305" s="202"/>
      <c r="D305" s="202">
        <f t="shared" si="127"/>
        <v>0</v>
      </c>
      <c r="L305" s="13"/>
    </row>
    <row r="306" spans="1:12" x14ac:dyDescent="0.3">
      <c r="A306" s="201" t="s">
        <v>378</v>
      </c>
      <c r="B306" s="202">
        <f>+B300</f>
        <v>112207.21745634338</v>
      </c>
      <c r="C306" s="202">
        <f>+C300</f>
        <v>177846.90214365668</v>
      </c>
      <c r="D306" s="202">
        <f t="shared" si="127"/>
        <v>290054.11960000009</v>
      </c>
      <c r="L306" s="13"/>
    </row>
    <row r="307" spans="1:12" x14ac:dyDescent="0.3">
      <c r="A307" s="201" t="s">
        <v>417</v>
      </c>
      <c r="B307" s="202" t="s">
        <v>82</v>
      </c>
      <c r="C307" s="202">
        <f>-K184</f>
        <v>40699.2016</v>
      </c>
      <c r="D307" s="202">
        <f>+C307</f>
        <v>40699.2016</v>
      </c>
      <c r="L307" s="13"/>
    </row>
    <row r="308" spans="1:12" x14ac:dyDescent="0.3">
      <c r="A308" s="201" t="s">
        <v>254</v>
      </c>
      <c r="B308" s="202">
        <f>+K318</f>
        <v>3988.1177753542479</v>
      </c>
      <c r="C308" s="202">
        <f>+K320</f>
        <v>5931.3622246457517</v>
      </c>
      <c r="D308" s="202">
        <f t="shared" si="127"/>
        <v>9919.48</v>
      </c>
      <c r="L308" s="13"/>
    </row>
    <row r="309" spans="1:12" x14ac:dyDescent="0.3">
      <c r="A309" s="201" t="s">
        <v>419</v>
      </c>
      <c r="B309" s="202" t="s">
        <v>82</v>
      </c>
      <c r="C309" s="202">
        <f>-K332</f>
        <v>-44100.607679999994</v>
      </c>
      <c r="D309" s="202">
        <f>+C309</f>
        <v>-44100.607679999994</v>
      </c>
      <c r="L309" s="13"/>
    </row>
    <row r="310" spans="1:12" x14ac:dyDescent="0.3">
      <c r="A310" s="201" t="s">
        <v>196</v>
      </c>
      <c r="B310" s="202">
        <f>SUM(B306:B309)</f>
        <v>116195.33523169762</v>
      </c>
      <c r="C310" s="202">
        <f>SUM(C306:C309)</f>
        <v>180376.85828830244</v>
      </c>
      <c r="D310" s="203">
        <f t="shared" si="127"/>
        <v>296572.19352000009</v>
      </c>
      <c r="L310" s="13"/>
    </row>
    <row r="311" spans="1:12" x14ac:dyDescent="0.3">
      <c r="A311" s="206" t="s">
        <v>391</v>
      </c>
      <c r="B311" s="207"/>
      <c r="C311" s="207"/>
      <c r="D311" s="202">
        <f t="shared" si="127"/>
        <v>0</v>
      </c>
      <c r="L311" s="13"/>
    </row>
    <row r="312" spans="1:12" x14ac:dyDescent="0.3">
      <c r="A312" s="201" t="s">
        <v>183</v>
      </c>
      <c r="B312" s="202">
        <f>+B310</f>
        <v>116195.33523169762</v>
      </c>
      <c r="C312" s="202">
        <f>+C314-C313</f>
        <v>1304400.4323683023</v>
      </c>
      <c r="D312" s="202">
        <f t="shared" si="127"/>
        <v>1420595.7675999999</v>
      </c>
      <c r="L312" s="13"/>
    </row>
    <row r="313" spans="1:12" x14ac:dyDescent="0.3">
      <c r="A313" s="201" t="s">
        <v>379</v>
      </c>
      <c r="B313" s="202" t="s">
        <v>82</v>
      </c>
      <c r="C313" s="202">
        <f>+C309+C303</f>
        <v>-1124023.5740799999</v>
      </c>
      <c r="D313" s="202">
        <f>+C313</f>
        <v>-1124023.5740799999</v>
      </c>
      <c r="L313" s="13"/>
    </row>
    <row r="314" spans="1:12" x14ac:dyDescent="0.3">
      <c r="A314" s="221" t="s">
        <v>185</v>
      </c>
      <c r="B314" s="203">
        <f>SUM(B312:B313)</f>
        <v>116195.33523169762</v>
      </c>
      <c r="C314" s="203">
        <f>+C310</f>
        <v>180376.85828830244</v>
      </c>
      <c r="D314" s="203">
        <f t="shared" si="127"/>
        <v>296572.19352000009</v>
      </c>
      <c r="L314" s="13"/>
    </row>
    <row r="315" spans="1:12" x14ac:dyDescent="0.3">
      <c r="L315" s="13"/>
    </row>
    <row r="316" spans="1:12" x14ac:dyDescent="0.3">
      <c r="L316" s="13"/>
    </row>
    <row r="317" spans="1:12" x14ac:dyDescent="0.3">
      <c r="A317" s="198" t="s">
        <v>254</v>
      </c>
      <c r="B317" s="198">
        <v>2018</v>
      </c>
      <c r="C317" s="199">
        <v>2019</v>
      </c>
      <c r="D317" s="199">
        <v>2020</v>
      </c>
      <c r="E317" s="198">
        <v>2021</v>
      </c>
      <c r="F317" s="198">
        <v>2022</v>
      </c>
      <c r="G317" s="200">
        <v>2023</v>
      </c>
      <c r="H317" s="200">
        <v>2024</v>
      </c>
      <c r="I317" s="200">
        <v>2025</v>
      </c>
      <c r="J317" s="200">
        <v>2026</v>
      </c>
      <c r="K317" s="200">
        <v>2027</v>
      </c>
      <c r="L317" s="13"/>
    </row>
    <row r="318" spans="1:12" x14ac:dyDescent="0.3">
      <c r="A318" t="s">
        <v>84</v>
      </c>
      <c r="B318" s="4">
        <f>+B208</f>
        <v>575</v>
      </c>
      <c r="C318" s="4">
        <f>+B222</f>
        <v>6800</v>
      </c>
      <c r="D318" s="4">
        <f>+B233</f>
        <v>4386</v>
      </c>
      <c r="E318" s="4">
        <f>+B244</f>
        <v>3411</v>
      </c>
      <c r="F318" s="4">
        <f>+B254</f>
        <v>30301</v>
      </c>
      <c r="G318" s="204">
        <f>+G323*G319</f>
        <v>3909.7803952456416</v>
      </c>
      <c r="H318" s="204">
        <f t="shared" ref="H318:K318" si="129">+H323*H319</f>
        <v>4415.6967292560175</v>
      </c>
      <c r="I318" s="204">
        <f t="shared" si="129"/>
        <v>3976.0279600949843</v>
      </c>
      <c r="J318" s="204">
        <f t="shared" si="129"/>
        <v>3895.7123717467302</v>
      </c>
      <c r="K318" s="204">
        <f t="shared" si="129"/>
        <v>3988.1177753542479</v>
      </c>
      <c r="L318" s="13"/>
    </row>
    <row r="319" spans="1:12" x14ac:dyDescent="0.3">
      <c r="A319" t="s">
        <v>418</v>
      </c>
      <c r="B319" s="4">
        <f>+B318/B322</f>
        <v>0.50174520069808026</v>
      </c>
      <c r="C319" s="4">
        <f t="shared" ref="C319:F319" si="130">+C318/C322</f>
        <v>0.43676536707559893</v>
      </c>
      <c r="D319" s="4">
        <f t="shared" si="130"/>
        <v>0.42786069651741293</v>
      </c>
      <c r="E319" s="4">
        <f t="shared" si="130"/>
        <v>0.33106862079006116</v>
      </c>
      <c r="F319" s="4">
        <f t="shared" si="130"/>
        <v>0.40070087278497751</v>
      </c>
      <c r="G319" s="204">
        <f>+AVERAGE(B319:F319)</f>
        <v>0.41962815157322619</v>
      </c>
      <c r="H319" s="204">
        <f t="shared" ref="H319:K319" si="131">+AVERAGE(C319:G319)</f>
        <v>0.40320474174825527</v>
      </c>
      <c r="I319" s="204">
        <f t="shared" si="131"/>
        <v>0.39649261668278662</v>
      </c>
      <c r="J319" s="204">
        <f t="shared" si="131"/>
        <v>0.39021900071586135</v>
      </c>
      <c r="K319" s="204">
        <f t="shared" si="131"/>
        <v>0.40204907670102141</v>
      </c>
      <c r="L319" s="13"/>
    </row>
    <row r="320" spans="1:12" x14ac:dyDescent="0.3">
      <c r="A320" s="1" t="s">
        <v>377</v>
      </c>
      <c r="B320" s="4">
        <f>+C208</f>
        <v>571</v>
      </c>
      <c r="C320" s="4">
        <f>+C222</f>
        <v>8769</v>
      </c>
      <c r="D320" s="4">
        <f>+C233</f>
        <v>5865</v>
      </c>
      <c r="E320" s="4">
        <f>+C244</f>
        <v>6892</v>
      </c>
      <c r="F320" s="4">
        <f>+C254</f>
        <v>45319</v>
      </c>
      <c r="G320" s="204">
        <f>+G321*G323</f>
        <v>5407.4696047543584</v>
      </c>
      <c r="H320" s="204">
        <f t="shared" ref="H320:K320" si="132">+H321*H323</f>
        <v>6535.8032707439797</v>
      </c>
      <c r="I320" s="204">
        <f t="shared" si="132"/>
        <v>6051.9720399050148</v>
      </c>
      <c r="J320" s="204">
        <f t="shared" si="132"/>
        <v>6087.6876282532685</v>
      </c>
      <c r="K320" s="204">
        <f t="shared" si="132"/>
        <v>5931.3622246457517</v>
      </c>
      <c r="L320" s="13"/>
    </row>
    <row r="321" spans="1:12" x14ac:dyDescent="0.3">
      <c r="A321" t="s">
        <v>418</v>
      </c>
      <c r="B321" s="4">
        <f>+B320/B322</f>
        <v>0.49825479930191974</v>
      </c>
      <c r="C321" s="4">
        <f t="shared" ref="C321:F321" si="133">+C320/C322</f>
        <v>0.56323463292440101</v>
      </c>
      <c r="D321" s="4">
        <f t="shared" si="133"/>
        <v>0.57213930348258701</v>
      </c>
      <c r="E321" s="4">
        <f t="shared" si="133"/>
        <v>0.66893137920993884</v>
      </c>
      <c r="F321" s="4">
        <f t="shared" si="133"/>
        <v>0.59929912721502243</v>
      </c>
      <c r="G321" s="204">
        <f>+AVERAGE(B321:F321)</f>
        <v>0.58037184842677381</v>
      </c>
      <c r="H321" s="204">
        <f t="shared" ref="H321:K321" si="134">+AVERAGE(C321:G321)</f>
        <v>0.59679525825174451</v>
      </c>
      <c r="I321" s="204">
        <f t="shared" si="134"/>
        <v>0.60350738331721332</v>
      </c>
      <c r="J321" s="204">
        <f t="shared" si="134"/>
        <v>0.60978099928413854</v>
      </c>
      <c r="K321" s="204">
        <f t="shared" si="134"/>
        <v>0.59795092329897859</v>
      </c>
      <c r="L321" s="13"/>
    </row>
    <row r="322" spans="1:12" x14ac:dyDescent="0.3">
      <c r="A322" s="1" t="s">
        <v>181</v>
      </c>
      <c r="B322" s="4">
        <f>+B318+B320</f>
        <v>1146</v>
      </c>
      <c r="C322" s="4">
        <f t="shared" ref="C322:K322" si="135">+C318+C320</f>
        <v>15569</v>
      </c>
      <c r="D322" s="4">
        <f t="shared" si="135"/>
        <v>10251</v>
      </c>
      <c r="E322" s="4">
        <f t="shared" si="135"/>
        <v>10303</v>
      </c>
      <c r="F322" s="195">
        <f t="shared" si="135"/>
        <v>75620</v>
      </c>
      <c r="G322" s="204">
        <f t="shared" si="135"/>
        <v>9317.25</v>
      </c>
      <c r="H322" s="204">
        <f t="shared" si="135"/>
        <v>10951.499999999996</v>
      </c>
      <c r="I322" s="204">
        <f t="shared" si="135"/>
        <v>10028</v>
      </c>
      <c r="J322" s="204">
        <f t="shared" si="135"/>
        <v>9983.3999999999978</v>
      </c>
      <c r="K322" s="204">
        <f t="shared" si="135"/>
        <v>9919.48</v>
      </c>
      <c r="L322" s="13"/>
    </row>
    <row r="323" spans="1:12" x14ac:dyDescent="0.3">
      <c r="A323" s="1" t="s">
        <v>423</v>
      </c>
      <c r="B323" s="2">
        <v>1146</v>
      </c>
      <c r="C323" s="2">
        <v>15569</v>
      </c>
      <c r="D323" s="2">
        <v>10251</v>
      </c>
      <c r="E323" s="2">
        <v>10303</v>
      </c>
      <c r="F323" s="4">
        <f>+AVERAGE(B322:E322)</f>
        <v>9317.25</v>
      </c>
      <c r="G323" s="204">
        <f>+AVERAGE(B323:F323)</f>
        <v>9317.25</v>
      </c>
      <c r="H323" s="204">
        <f t="shared" ref="H323:K323" si="136">+AVERAGE(C323:G323)</f>
        <v>10951.5</v>
      </c>
      <c r="I323" s="204">
        <f t="shared" si="136"/>
        <v>10028</v>
      </c>
      <c r="J323" s="204">
        <f t="shared" si="136"/>
        <v>9983.4</v>
      </c>
      <c r="K323" s="204">
        <f t="shared" si="136"/>
        <v>9919.48</v>
      </c>
      <c r="L323" s="13"/>
    </row>
    <row r="324" spans="1:12" x14ac:dyDescent="0.3">
      <c r="A324" s="1"/>
      <c r="L324" s="13"/>
    </row>
    <row r="325" spans="1:12" x14ac:dyDescent="0.3">
      <c r="A325" s="1"/>
      <c r="L325" s="13"/>
    </row>
    <row r="326" spans="1:12" x14ac:dyDescent="0.3">
      <c r="A326" s="1"/>
      <c r="L326" s="13"/>
    </row>
    <row r="327" spans="1:12" x14ac:dyDescent="0.3">
      <c r="L327" s="13"/>
    </row>
    <row r="328" spans="1:12" x14ac:dyDescent="0.3">
      <c r="L328" s="13"/>
    </row>
    <row r="329" spans="1:12" x14ac:dyDescent="0.3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</row>
    <row r="330" spans="1:12" x14ac:dyDescent="0.3">
      <c r="L330" s="13"/>
    </row>
    <row r="331" spans="1:12" x14ac:dyDescent="0.3">
      <c r="A331" s="97" t="s">
        <v>279</v>
      </c>
      <c r="B331" s="97">
        <v>2018</v>
      </c>
      <c r="C331" s="97">
        <v>2019</v>
      </c>
      <c r="D331" s="97">
        <v>2020</v>
      </c>
      <c r="E331" s="97">
        <v>2021</v>
      </c>
      <c r="F331" s="97">
        <v>2022</v>
      </c>
      <c r="G331" s="119">
        <v>2023</v>
      </c>
      <c r="H331" s="119">
        <v>2024</v>
      </c>
      <c r="I331" s="119">
        <v>2025</v>
      </c>
      <c r="J331" s="119">
        <v>2026</v>
      </c>
      <c r="K331" s="119">
        <v>2027</v>
      </c>
      <c r="L331" s="13"/>
    </row>
    <row r="332" spans="1:12" x14ac:dyDescent="0.3">
      <c r="A332" t="s">
        <v>280</v>
      </c>
      <c r="B332" s="2">
        <f>30789</f>
        <v>30789</v>
      </c>
      <c r="C332" s="3">
        <v>26636</v>
      </c>
      <c r="D332" s="2">
        <v>39632</v>
      </c>
      <c r="E332" s="2">
        <v>47145</v>
      </c>
      <c r="F332" s="2">
        <v>51962</v>
      </c>
      <c r="G332" s="2">
        <f>+AVERAGE(B332:F332)</f>
        <v>39232.800000000003</v>
      </c>
      <c r="H332" s="2">
        <f t="shared" ref="H332:K332" si="137">+AVERAGE(C332:G332)</f>
        <v>40921.56</v>
      </c>
      <c r="I332" s="2">
        <f t="shared" si="137"/>
        <v>43778.671999999999</v>
      </c>
      <c r="J332" s="2">
        <f t="shared" si="137"/>
        <v>44608.006399999998</v>
      </c>
      <c r="K332" s="2">
        <f t="shared" si="137"/>
        <v>44100.607679999994</v>
      </c>
      <c r="L332" s="13"/>
    </row>
    <row r="333" spans="1:12" x14ac:dyDescent="0.3">
      <c r="A333" t="s">
        <v>281</v>
      </c>
      <c r="B333" s="2">
        <v>15069</v>
      </c>
      <c r="C333" s="3">
        <v>16511</v>
      </c>
      <c r="D333" s="6" t="s">
        <v>101</v>
      </c>
      <c r="E333" s="6" t="s">
        <v>101</v>
      </c>
      <c r="F333" s="6" t="s">
        <v>101</v>
      </c>
      <c r="G333" s="6" t="s">
        <v>101</v>
      </c>
      <c r="H333" s="6" t="s">
        <v>101</v>
      </c>
      <c r="I333" s="6" t="s">
        <v>101</v>
      </c>
      <c r="J333" s="6" t="s">
        <v>101</v>
      </c>
      <c r="K333" s="6" t="s">
        <v>101</v>
      </c>
      <c r="L333" s="13"/>
    </row>
    <row r="334" spans="1:12" ht="15" thickBot="1" x14ac:dyDescent="0.35">
      <c r="A334" s="140" t="s">
        <v>470</v>
      </c>
      <c r="B334" s="236">
        <f>SUM(B332:B333)</f>
        <v>45858</v>
      </c>
      <c r="C334" s="236">
        <f t="shared" ref="C334:K334" si="138">SUM(C332:C333)</f>
        <v>43147</v>
      </c>
      <c r="D334" s="236">
        <f t="shared" si="138"/>
        <v>39632</v>
      </c>
      <c r="E334" s="236">
        <f t="shared" si="138"/>
        <v>47145</v>
      </c>
      <c r="F334" s="236">
        <f t="shared" si="138"/>
        <v>51962</v>
      </c>
      <c r="G334" s="236">
        <f t="shared" si="138"/>
        <v>39232.800000000003</v>
      </c>
      <c r="H334" s="236">
        <f>SUM(H332:H333)</f>
        <v>40921.56</v>
      </c>
      <c r="I334" s="236">
        <f t="shared" si="138"/>
        <v>43778.671999999999</v>
      </c>
      <c r="J334" s="236">
        <f t="shared" si="138"/>
        <v>44608.006399999998</v>
      </c>
      <c r="K334" s="236">
        <f t="shared" si="138"/>
        <v>44100.607679999994</v>
      </c>
      <c r="L334" s="13"/>
    </row>
    <row r="335" spans="1:12" x14ac:dyDescent="0.3">
      <c r="L335" s="13"/>
    </row>
    <row r="336" spans="1:12" x14ac:dyDescent="0.3">
      <c r="L336" s="13"/>
    </row>
    <row r="337" spans="1:12" x14ac:dyDescent="0.3">
      <c r="A337" t="s">
        <v>409</v>
      </c>
      <c r="L337" s="13"/>
    </row>
    <row r="338" spans="1:12" x14ac:dyDescent="0.3">
      <c r="A338" t="s">
        <v>410</v>
      </c>
      <c r="L338" s="13"/>
    </row>
    <row r="339" spans="1:12" x14ac:dyDescent="0.3">
      <c r="A339" t="s">
        <v>411</v>
      </c>
      <c r="L339" s="13"/>
    </row>
    <row r="340" spans="1:12" x14ac:dyDescent="0.3">
      <c r="L340" s="13"/>
    </row>
    <row r="341" spans="1:12" x14ac:dyDescent="0.3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</row>
    <row r="342" spans="1:12" x14ac:dyDescent="0.3">
      <c r="L342" s="13"/>
    </row>
    <row r="343" spans="1:12" x14ac:dyDescent="0.3">
      <c r="B343" s="93">
        <v>2018</v>
      </c>
      <c r="C343" s="162">
        <v>2019</v>
      </c>
      <c r="D343" s="162">
        <v>2020</v>
      </c>
      <c r="E343" s="162">
        <v>2021</v>
      </c>
      <c r="F343" s="162">
        <v>2022</v>
      </c>
      <c r="G343" s="248">
        <v>2023</v>
      </c>
      <c r="H343" s="248">
        <v>2024</v>
      </c>
      <c r="I343" s="248">
        <v>2025</v>
      </c>
      <c r="J343" s="248">
        <v>2026</v>
      </c>
      <c r="K343" s="248">
        <v>2027</v>
      </c>
      <c r="L343" s="13"/>
    </row>
    <row r="344" spans="1:12" x14ac:dyDescent="0.3">
      <c r="A344" s="1" t="s">
        <v>511</v>
      </c>
      <c r="D344" s="4">
        <v>617526</v>
      </c>
      <c r="E344" s="3">
        <v>910400</v>
      </c>
      <c r="F344" s="3">
        <v>899016</v>
      </c>
      <c r="G344" s="3">
        <f>+F349</f>
        <v>1341498</v>
      </c>
      <c r="H344" s="3">
        <f t="shared" ref="H344:K344" si="139">+G349</f>
        <v>1486455.6666666667</v>
      </c>
      <c r="I344" s="3">
        <f t="shared" si="139"/>
        <v>1669049.888888889</v>
      </c>
      <c r="J344" s="3">
        <f t="shared" si="139"/>
        <v>1916303.5185185187</v>
      </c>
      <c r="K344" s="3">
        <f t="shared" si="139"/>
        <v>2107905.3580246917</v>
      </c>
      <c r="L344" s="13"/>
    </row>
    <row r="345" spans="1:12" x14ac:dyDescent="0.3">
      <c r="A345" t="s">
        <v>518</v>
      </c>
      <c r="B345" s="4"/>
      <c r="D345" s="3">
        <v>21463</v>
      </c>
      <c r="E345">
        <v>80</v>
      </c>
      <c r="F345" s="3">
        <v>56306</v>
      </c>
      <c r="G345" s="3">
        <f>+AVERAGE(D345:F345)</f>
        <v>25949.666666666668</v>
      </c>
      <c r="H345" s="3">
        <f t="shared" ref="H345:K345" si="140">+AVERAGE(E345:G345)</f>
        <v>27445.222222222223</v>
      </c>
      <c r="I345" s="3">
        <f t="shared" si="140"/>
        <v>36566.962962962964</v>
      </c>
      <c r="J345" s="3">
        <f t="shared" si="140"/>
        <v>29987.283950617286</v>
      </c>
      <c r="K345" s="3">
        <f t="shared" si="140"/>
        <v>31333.156378600823</v>
      </c>
      <c r="L345" s="13"/>
    </row>
    <row r="346" spans="1:12" x14ac:dyDescent="0.3">
      <c r="A346" t="s">
        <v>519</v>
      </c>
      <c r="D346" s="3">
        <v>260826</v>
      </c>
      <c r="E346">
        <v>0</v>
      </c>
      <c r="F346" s="3">
        <v>28273</v>
      </c>
      <c r="G346" s="86" t="s">
        <v>82</v>
      </c>
      <c r="H346" s="86" t="s">
        <v>82</v>
      </c>
      <c r="I346" s="86" t="s">
        <v>82</v>
      </c>
      <c r="J346" s="86" t="s">
        <v>82</v>
      </c>
      <c r="K346" s="86" t="s">
        <v>82</v>
      </c>
      <c r="L346" s="13"/>
    </row>
    <row r="347" spans="1:12" x14ac:dyDescent="0.3">
      <c r="A347" t="s">
        <v>520</v>
      </c>
      <c r="D347" s="3">
        <v>-49817</v>
      </c>
      <c r="E347" s="3">
        <v>-57606</v>
      </c>
      <c r="F347" s="3">
        <v>-65431</v>
      </c>
      <c r="G347" s="3">
        <f>+AVERAGE(D347:F347)</f>
        <v>-57618</v>
      </c>
      <c r="H347" s="3">
        <f t="shared" ref="H347:K347" si="141">+AVERAGE(E347:G347)</f>
        <v>-60218.333333333336</v>
      </c>
      <c r="I347" s="3">
        <f t="shared" si="141"/>
        <v>-61089.111111111117</v>
      </c>
      <c r="J347" s="3">
        <f t="shared" si="141"/>
        <v>-59641.814814814825</v>
      </c>
      <c r="K347" s="3">
        <f t="shared" si="141"/>
        <v>-60316.419753086426</v>
      </c>
      <c r="L347" s="13"/>
    </row>
    <row r="348" spans="1:12" x14ac:dyDescent="0.3">
      <c r="A348" t="s">
        <v>254</v>
      </c>
      <c r="D348" s="3">
        <v>60402</v>
      </c>
      <c r="E348" s="3">
        <v>46142</v>
      </c>
      <c r="F348" s="3">
        <v>423334</v>
      </c>
      <c r="G348" s="3">
        <f>+AVERAGE(D348:F348)</f>
        <v>176626</v>
      </c>
      <c r="H348" s="3">
        <f t="shared" ref="H348:K348" si="142">+AVERAGE(E348:G348)</f>
        <v>215367.33333333334</v>
      </c>
      <c r="I348" s="3">
        <f t="shared" si="142"/>
        <v>271775.77777777781</v>
      </c>
      <c r="J348" s="3">
        <f t="shared" si="142"/>
        <v>221256.37037037042</v>
      </c>
      <c r="K348" s="3">
        <f t="shared" si="142"/>
        <v>236133.16049382719</v>
      </c>
      <c r="L348" s="13"/>
    </row>
    <row r="349" spans="1:12" s="1" customFormat="1" x14ac:dyDescent="0.3">
      <c r="A349" s="81" t="s">
        <v>524</v>
      </c>
      <c r="B349" s="81"/>
      <c r="C349" s="81"/>
      <c r="D349" s="238">
        <f>SUM(D344:D348)</f>
        <v>910400</v>
      </c>
      <c r="E349" s="238">
        <f>SUM(E344:E348)</f>
        <v>899016</v>
      </c>
      <c r="F349" s="238">
        <f>SUM(F344:F348)</f>
        <v>1341498</v>
      </c>
      <c r="G349" s="238">
        <f t="shared" ref="G349:K349" si="143">SUM(G344:G348)</f>
        <v>1486455.6666666667</v>
      </c>
      <c r="H349" s="238">
        <f t="shared" si="143"/>
        <v>1669049.888888889</v>
      </c>
      <c r="I349" s="238">
        <f t="shared" si="143"/>
        <v>1916303.5185185187</v>
      </c>
      <c r="J349" s="238">
        <f t="shared" si="143"/>
        <v>2107905.3580246917</v>
      </c>
      <c r="K349" s="238">
        <f t="shared" si="143"/>
        <v>2315055.2551440331</v>
      </c>
      <c r="L349" s="260"/>
    </row>
    <row r="350" spans="1:12" x14ac:dyDescent="0.3">
      <c r="L350" s="13"/>
    </row>
    <row r="351" spans="1:12" x14ac:dyDescent="0.3">
      <c r="A351" s="1" t="s">
        <v>94</v>
      </c>
      <c r="L351" s="13"/>
    </row>
    <row r="352" spans="1:12" x14ac:dyDescent="0.3">
      <c r="A352" t="s">
        <v>529</v>
      </c>
      <c r="D352" s="3">
        <v>617526</v>
      </c>
      <c r="E352" s="2">
        <v>640099</v>
      </c>
      <c r="F352" s="3">
        <v>668320</v>
      </c>
      <c r="G352" s="3">
        <f>+F360</f>
        <v>973481</v>
      </c>
      <c r="H352" s="3">
        <f t="shared" ref="H352:K352" si="144">+G360</f>
        <v>1007075.9854340085</v>
      </c>
      <c r="I352" s="3">
        <f t="shared" si="144"/>
        <v>1041144.2632843964</v>
      </c>
      <c r="J352" s="3">
        <f t="shared" si="144"/>
        <v>1072804.4634296247</v>
      </c>
      <c r="K352" s="3">
        <f t="shared" si="144"/>
        <v>1108116.9337269708</v>
      </c>
      <c r="L352" s="13"/>
    </row>
    <row r="353" spans="1:12" x14ac:dyDescent="0.3">
      <c r="A353" t="s">
        <v>521</v>
      </c>
      <c r="D353" s="3">
        <v>47427</v>
      </c>
      <c r="E353" s="3">
        <v>47889</v>
      </c>
      <c r="F353" s="3">
        <v>52717</v>
      </c>
      <c r="G353" s="160">
        <f>+G352*G354</f>
        <v>74794.651844859094</v>
      </c>
      <c r="H353" s="160">
        <f t="shared" ref="H353:K353" si="145">+H352*H354</f>
        <v>77386.079125965713</v>
      </c>
      <c r="I353" s="160">
        <f t="shared" si="145"/>
        <v>80707.554866475533</v>
      </c>
      <c r="J353" s="160">
        <f t="shared" si="145"/>
        <v>82674.830746424763</v>
      </c>
      <c r="K353" s="160">
        <f t="shared" si="145"/>
        <v>85481.870602610332</v>
      </c>
      <c r="L353" s="13"/>
    </row>
    <row r="354" spans="1:12" x14ac:dyDescent="0.3">
      <c r="A354" t="s">
        <v>528</v>
      </c>
      <c r="D354" s="257">
        <f>+D353/D352</f>
        <v>7.6801624546982639E-2</v>
      </c>
      <c r="E354" s="257">
        <f>+E353/E352</f>
        <v>7.4814989556303016E-2</v>
      </c>
      <c r="F354" s="257">
        <f>+F353/F352</f>
        <v>7.8879877902801057E-2</v>
      </c>
      <c r="G354" s="83">
        <f>+AVERAGE(D354:F354)</f>
        <v>7.6832164002028899E-2</v>
      </c>
      <c r="H354" s="83">
        <f t="shared" ref="H354:K354" si="146">+AVERAGE(E354:G354)</f>
        <v>7.6842343820377648E-2</v>
      </c>
      <c r="I354" s="83">
        <f t="shared" si="146"/>
        <v>7.7518128575069192E-2</v>
      </c>
      <c r="J354" s="83">
        <f t="shared" si="146"/>
        <v>7.7064212132491913E-2</v>
      </c>
      <c r="K354" s="83">
        <f t="shared" si="146"/>
        <v>7.7141561509312909E-2</v>
      </c>
      <c r="L354" s="13"/>
    </row>
    <row r="355" spans="1:12" x14ac:dyDescent="0.3">
      <c r="A355" t="s">
        <v>527</v>
      </c>
      <c r="D355" s="247" t="s">
        <v>82</v>
      </c>
      <c r="E355" s="247" t="s">
        <v>82</v>
      </c>
      <c r="F355" s="3">
        <v>28273</v>
      </c>
      <c r="G355" s="86" t="s">
        <v>82</v>
      </c>
      <c r="H355" s="86" t="s">
        <v>82</v>
      </c>
      <c r="I355" s="86" t="s">
        <v>82</v>
      </c>
      <c r="J355" s="86" t="s">
        <v>82</v>
      </c>
      <c r="K355" s="86" t="s">
        <v>82</v>
      </c>
      <c r="L355" s="13"/>
    </row>
    <row r="356" spans="1:12" x14ac:dyDescent="0.3">
      <c r="A356" t="s">
        <v>530</v>
      </c>
      <c r="D356" s="160">
        <v>-55065</v>
      </c>
      <c r="E356" s="160">
        <v>-59840</v>
      </c>
      <c r="F356" s="160">
        <v>-74740</v>
      </c>
      <c r="G356" s="160">
        <f>+G357*G352</f>
        <v>-95559.662404131959</v>
      </c>
      <c r="H356" s="160">
        <f t="shared" ref="H356:K356" si="147">+H357*H352</f>
        <v>-101876.15473346892</v>
      </c>
      <c r="I356" s="160">
        <f t="shared" si="147"/>
        <v>-107986.04046522599</v>
      </c>
      <c r="J356" s="160">
        <f t="shared" si="147"/>
        <v>-108368.1995921162</v>
      </c>
      <c r="K356" s="160">
        <f t="shared" si="147"/>
        <v>-112988.36539379641</v>
      </c>
      <c r="L356" s="13"/>
    </row>
    <row r="357" spans="1:12" x14ac:dyDescent="0.3">
      <c r="A357" t="s">
        <v>522</v>
      </c>
      <c r="D357" s="160">
        <f>+D356/D352</f>
        <v>-8.9170334528424711E-2</v>
      </c>
      <c r="E357" s="160">
        <f t="shared" ref="E357:F357" si="148">+E356/E352</f>
        <v>-9.3485538955692796E-2</v>
      </c>
      <c r="F357" s="160">
        <f t="shared" si="148"/>
        <v>-0.1118326550155614</v>
      </c>
      <c r="G357" s="4">
        <f>+AVERAGE(D357:F357)</f>
        <v>-9.8162842833226294E-2</v>
      </c>
      <c r="H357" s="4">
        <f t="shared" ref="H357:K357" si="149">+AVERAGE(E357:G357)</f>
        <v>-0.10116034560149349</v>
      </c>
      <c r="I357" s="4">
        <f t="shared" si="149"/>
        <v>-0.10371861448342706</v>
      </c>
      <c r="J357" s="4">
        <f t="shared" si="149"/>
        <v>-0.10101393430604895</v>
      </c>
      <c r="K357" s="4">
        <f t="shared" si="149"/>
        <v>-0.10196429813032316</v>
      </c>
      <c r="L357" s="13"/>
    </row>
    <row r="358" spans="1:12" x14ac:dyDescent="0.3">
      <c r="A358" t="s">
        <v>254</v>
      </c>
      <c r="D358" s="3">
        <v>30211</v>
      </c>
      <c r="E358" s="3">
        <v>40172</v>
      </c>
      <c r="F358" s="3">
        <v>298911</v>
      </c>
      <c r="G358" s="160">
        <f>+G359*G352</f>
        <v>54359.995993281373</v>
      </c>
      <c r="H358" s="160">
        <f t="shared" ref="H358:K358" si="150">+H359*H352</f>
        <v>58558.353457891091</v>
      </c>
      <c r="I358" s="160">
        <f t="shared" si="150"/>
        <v>58938.685743978676</v>
      </c>
      <c r="J358" s="160">
        <f t="shared" si="150"/>
        <v>61005.839143037556</v>
      </c>
      <c r="K358" s="160">
        <f t="shared" si="150"/>
        <v>63392.486210738789</v>
      </c>
      <c r="L358" s="13"/>
    </row>
    <row r="359" spans="1:12" x14ac:dyDescent="0.3">
      <c r="A359" t="s">
        <v>531</v>
      </c>
      <c r="D359" s="258">
        <f>+D358/D352</f>
        <v>4.8922636455792957E-2</v>
      </c>
      <c r="E359" s="258">
        <f>+E358/E352</f>
        <v>6.2759041960696704E-2</v>
      </c>
      <c r="F359" s="258">
        <f>+AVERAGE(D359:E359)</f>
        <v>5.5840839208244827E-2</v>
      </c>
      <c r="G359" s="258">
        <f>+AVERAGE(D359:F359)</f>
        <v>5.584083920824482E-2</v>
      </c>
      <c r="H359" s="258">
        <f t="shared" ref="H359:K359" si="151">+AVERAGE(E359:G359)</f>
        <v>5.8146906792395453E-2</v>
      </c>
      <c r="I359" s="258">
        <f t="shared" si="151"/>
        <v>5.6609528402961705E-2</v>
      </c>
      <c r="J359" s="258">
        <f t="shared" si="151"/>
        <v>5.686575813453399E-2</v>
      </c>
      <c r="K359" s="258">
        <f t="shared" si="151"/>
        <v>5.7207397776630385E-2</v>
      </c>
      <c r="L359" s="13"/>
    </row>
    <row r="360" spans="1:12" s="1" customFormat="1" x14ac:dyDescent="0.3">
      <c r="A360" s="81" t="s">
        <v>523</v>
      </c>
      <c r="B360" s="81"/>
      <c r="C360" s="81"/>
      <c r="D360" s="238">
        <f>+D352+D353+D356+D358</f>
        <v>640099</v>
      </c>
      <c r="E360" s="238">
        <f>+E352+E353+E356+E358</f>
        <v>668320</v>
      </c>
      <c r="F360" s="238">
        <f>+F352+F353+F355+F356+F358</f>
        <v>973481</v>
      </c>
      <c r="G360" s="259">
        <f>+G352+G353+G356+G358</f>
        <v>1007075.9854340085</v>
      </c>
      <c r="H360" s="259">
        <f t="shared" ref="H360:K360" si="152">+H352+H353+H356+H358</f>
        <v>1041144.2632843964</v>
      </c>
      <c r="I360" s="259">
        <f t="shared" si="152"/>
        <v>1072804.4634296247</v>
      </c>
      <c r="J360" s="259">
        <f t="shared" si="152"/>
        <v>1108116.9337269708</v>
      </c>
      <c r="K360" s="259">
        <f t="shared" si="152"/>
        <v>1144002.9251465234</v>
      </c>
      <c r="L360" s="260"/>
    </row>
    <row r="361" spans="1:12" x14ac:dyDescent="0.3">
      <c r="L361" s="13"/>
    </row>
    <row r="362" spans="1:12" x14ac:dyDescent="0.3">
      <c r="L362" s="13"/>
    </row>
    <row r="363" spans="1:12" x14ac:dyDescent="0.3">
      <c r="L363" s="13"/>
    </row>
    <row r="364" spans="1:12" x14ac:dyDescent="0.3">
      <c r="A364" s="1" t="s">
        <v>94</v>
      </c>
      <c r="L364" s="13"/>
    </row>
    <row r="365" spans="1:12" x14ac:dyDescent="0.3">
      <c r="A365" t="s">
        <v>525</v>
      </c>
      <c r="D365" s="4">
        <v>12106</v>
      </c>
      <c r="E365" s="256">
        <v>13663</v>
      </c>
      <c r="F365" s="256">
        <v>43051</v>
      </c>
      <c r="G365" s="4">
        <f>+G370*G367</f>
        <v>28057.227248706782</v>
      </c>
      <c r="H365" s="4">
        <f t="shared" ref="H365:K365" si="153">+H370*H367</f>
        <v>32111.547189891764</v>
      </c>
      <c r="I365" s="4">
        <f t="shared" si="153"/>
        <v>36806.63838337933</v>
      </c>
      <c r="J365" s="4">
        <f t="shared" si="153"/>
        <v>34355.853158499332</v>
      </c>
      <c r="K365" s="4">
        <f t="shared" si="153"/>
        <v>36667.266407006726</v>
      </c>
      <c r="L365" s="13"/>
    </row>
    <row r="366" spans="1:12" x14ac:dyDescent="0.3">
      <c r="A366" t="s">
        <v>526</v>
      </c>
      <c r="D366" s="4">
        <v>627993</v>
      </c>
      <c r="E366" s="256">
        <v>654657</v>
      </c>
      <c r="F366" s="256">
        <v>930430</v>
      </c>
      <c r="G366" s="4">
        <f>+G371*G367</f>
        <v>979018.75818530167</v>
      </c>
      <c r="H366" s="4">
        <f t="shared" ref="H366:K366" si="154">+H371*H367</f>
        <v>1009032.7160945046</v>
      </c>
      <c r="I366" s="4">
        <f t="shared" si="154"/>
        <v>1035997.8250462452</v>
      </c>
      <c r="J366" s="4">
        <f t="shared" si="154"/>
        <v>1073761.0805684715</v>
      </c>
      <c r="K366" s="4">
        <f t="shared" si="154"/>
        <v>1107335.6587395165</v>
      </c>
      <c r="L366" s="13"/>
    </row>
    <row r="367" spans="1:12" x14ac:dyDescent="0.3">
      <c r="A367" s="81" t="s">
        <v>181</v>
      </c>
      <c r="B367" s="81"/>
      <c r="C367" s="81"/>
      <c r="D367" s="259">
        <f>SUM(D365:D366)</f>
        <v>640099</v>
      </c>
      <c r="E367" s="259">
        <f t="shared" ref="E367:F367" si="155">SUM(E365:E366)</f>
        <v>668320</v>
      </c>
      <c r="F367" s="259">
        <f t="shared" si="155"/>
        <v>973481</v>
      </c>
      <c r="G367" s="259">
        <f>+G360</f>
        <v>1007075.9854340085</v>
      </c>
      <c r="H367" s="259">
        <f t="shared" ref="H367:K367" si="156">+H360</f>
        <v>1041144.2632843964</v>
      </c>
      <c r="I367" s="259">
        <f t="shared" si="156"/>
        <v>1072804.4634296247</v>
      </c>
      <c r="J367" s="259">
        <f t="shared" si="156"/>
        <v>1108116.9337269708</v>
      </c>
      <c r="K367" s="259">
        <f t="shared" si="156"/>
        <v>1144002.9251465234</v>
      </c>
      <c r="L367" s="13"/>
    </row>
    <row r="368" spans="1:12" x14ac:dyDescent="0.3">
      <c r="L368" s="13"/>
    </row>
    <row r="369" spans="1:12" x14ac:dyDescent="0.3">
      <c r="L369" s="13"/>
    </row>
    <row r="370" spans="1:12" x14ac:dyDescent="0.3">
      <c r="A370" t="s">
        <v>517</v>
      </c>
      <c r="D370" s="27">
        <f>+D365/D367</f>
        <v>1.8912699441805094E-2</v>
      </c>
      <c r="E370" s="27">
        <f t="shared" ref="E370:F370" si="157">+E365/E367</f>
        <v>2.0443799377543693E-2</v>
      </c>
      <c r="F370" s="27">
        <f t="shared" si="157"/>
        <v>4.4223770160896826E-2</v>
      </c>
      <c r="G370" s="27">
        <f>+AVERAGE(D370:F370)</f>
        <v>2.7860089660081872E-2</v>
      </c>
      <c r="H370" s="27">
        <f t="shared" ref="H370:K370" si="158">+AVERAGE(E370:G370)</f>
        <v>3.084255306617413E-2</v>
      </c>
      <c r="I370" s="27">
        <f t="shared" si="158"/>
        <v>3.4308804295717608E-2</v>
      </c>
      <c r="J370" s="27">
        <f t="shared" si="158"/>
        <v>3.1003815673991204E-2</v>
      </c>
      <c r="K370" s="27">
        <f t="shared" si="158"/>
        <v>3.2051724345294311E-2</v>
      </c>
      <c r="L370" s="13"/>
    </row>
    <row r="371" spans="1:12" x14ac:dyDescent="0.3">
      <c r="A371" t="s">
        <v>516</v>
      </c>
      <c r="D371" s="27">
        <f>+D366/D367</f>
        <v>0.98108730055819493</v>
      </c>
      <c r="E371" s="27">
        <f t="shared" ref="E371:F371" si="159">+E366/E367</f>
        <v>0.9795562006224563</v>
      </c>
      <c r="F371" s="27">
        <f t="shared" si="159"/>
        <v>0.95577622983910315</v>
      </c>
      <c r="G371" s="27">
        <f>+AVERAGE(D371:F371)</f>
        <v>0.97213991033991809</v>
      </c>
      <c r="H371" s="27">
        <f t="shared" ref="H371:K371" si="160">+AVERAGE(E371:G371)</f>
        <v>0.96915744693382588</v>
      </c>
      <c r="I371" s="27">
        <f t="shared" si="160"/>
        <v>0.9656911957042823</v>
      </c>
      <c r="J371" s="27">
        <f t="shared" si="160"/>
        <v>0.96899618432600876</v>
      </c>
      <c r="K371" s="27">
        <f t="shared" si="160"/>
        <v>0.96794827565470565</v>
      </c>
      <c r="L371" s="13"/>
    </row>
    <row r="372" spans="1:12" x14ac:dyDescent="0.3">
      <c r="D372" s="27">
        <f t="shared" ref="D372:F372" si="161">SUM(D370:D371)</f>
        <v>1</v>
      </c>
      <c r="E372" s="27">
        <f t="shared" si="161"/>
        <v>1</v>
      </c>
      <c r="F372" s="27">
        <f t="shared" si="161"/>
        <v>1</v>
      </c>
      <c r="G372" s="27">
        <f>SUM(G370:G371)</f>
        <v>1</v>
      </c>
      <c r="H372" s="27">
        <f t="shared" ref="H372:K372" si="162">SUM(H370:H371)</f>
        <v>1</v>
      </c>
      <c r="I372" s="27">
        <f t="shared" si="162"/>
        <v>0.99999999999999989</v>
      </c>
      <c r="J372" s="27">
        <f t="shared" si="162"/>
        <v>1</v>
      </c>
      <c r="K372" s="27">
        <f t="shared" si="162"/>
        <v>1</v>
      </c>
      <c r="L372" s="13"/>
    </row>
    <row r="373" spans="1:12" x14ac:dyDescent="0.3">
      <c r="D373" s="27"/>
      <c r="E373" s="27"/>
      <c r="F373" s="27"/>
      <c r="G373" s="27"/>
      <c r="H373" s="27"/>
      <c r="I373" s="27"/>
      <c r="J373" s="27"/>
      <c r="K373" s="27"/>
      <c r="L373" s="13"/>
    </row>
    <row r="374" spans="1:12" x14ac:dyDescent="0.3">
      <c r="A374" s="1" t="s">
        <v>453</v>
      </c>
      <c r="D374" s="27"/>
      <c r="E374" s="27"/>
      <c r="F374" s="27"/>
      <c r="G374" s="27"/>
      <c r="H374" s="27"/>
      <c r="I374" s="27"/>
      <c r="J374" s="27"/>
      <c r="K374" s="27"/>
      <c r="L374" s="13"/>
    </row>
    <row r="375" spans="1:12" x14ac:dyDescent="0.3">
      <c r="A375" t="s">
        <v>634</v>
      </c>
      <c r="D375" s="27"/>
      <c r="E375" s="27"/>
      <c r="F375" s="27"/>
      <c r="G375" s="27"/>
      <c r="H375" s="27"/>
      <c r="I375" s="27"/>
      <c r="J375" s="27"/>
      <c r="K375" s="27"/>
      <c r="L375" s="13"/>
    </row>
    <row r="376" spans="1:12" x14ac:dyDescent="0.3">
      <c r="A376" t="s">
        <v>635</v>
      </c>
      <c r="L376" s="13"/>
    </row>
    <row r="377" spans="1:12" x14ac:dyDescent="0.3">
      <c r="A377" t="s">
        <v>636</v>
      </c>
      <c r="L377" s="13"/>
    </row>
    <row r="378" spans="1:12" x14ac:dyDescent="0.3">
      <c r="A378" t="s">
        <v>637</v>
      </c>
      <c r="L378" s="13"/>
    </row>
    <row r="379" spans="1:12" x14ac:dyDescent="0.3">
      <c r="A379" t="s">
        <v>638</v>
      </c>
      <c r="L379" s="13"/>
    </row>
    <row r="380" spans="1:12" x14ac:dyDescent="0.3">
      <c r="L380" s="13"/>
    </row>
    <row r="381" spans="1:12" x14ac:dyDescent="0.3">
      <c r="L381" s="13"/>
    </row>
    <row r="382" spans="1:12" x14ac:dyDescent="0.3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</row>
    <row r="383" spans="1:12" x14ac:dyDescent="0.3">
      <c r="L383" s="13"/>
    </row>
    <row r="384" spans="1:12" x14ac:dyDescent="0.3">
      <c r="L384" s="13"/>
    </row>
    <row r="385" spans="12:12" x14ac:dyDescent="0.3">
      <c r="L385" s="13"/>
    </row>
    <row r="386" spans="12:12" x14ac:dyDescent="0.3">
      <c r="L386" s="13"/>
    </row>
    <row r="387" spans="12:12" x14ac:dyDescent="0.3">
      <c r="L387" s="13"/>
    </row>
    <row r="388" spans="12:12" x14ac:dyDescent="0.3">
      <c r="L388" s="13"/>
    </row>
    <row r="389" spans="12:12" x14ac:dyDescent="0.3">
      <c r="L389" s="13"/>
    </row>
    <row r="390" spans="12:12" x14ac:dyDescent="0.3">
      <c r="L390" s="13"/>
    </row>
    <row r="391" spans="12:12" x14ac:dyDescent="0.3">
      <c r="L391" s="13"/>
    </row>
    <row r="392" spans="12:12" x14ac:dyDescent="0.3">
      <c r="L392" s="13"/>
    </row>
    <row r="393" spans="12:12" x14ac:dyDescent="0.3">
      <c r="L393" s="13"/>
    </row>
    <row r="394" spans="12:12" x14ac:dyDescent="0.3">
      <c r="L394" s="13"/>
    </row>
    <row r="395" spans="12:12" x14ac:dyDescent="0.3">
      <c r="L395" s="13"/>
    </row>
    <row r="396" spans="12:12" x14ac:dyDescent="0.3">
      <c r="L396" s="13"/>
    </row>
  </sheetData>
  <phoneticPr fontId="23" type="noConversion"/>
  <pageMargins left="0.7" right="0.7" top="0.75" bottom="0.75" header="0.3" footer="0.3"/>
  <pageSetup paperSize="9" orientation="portrait" r:id="rId1"/>
  <ignoredErrors>
    <ignoredError sqref="G15 D264:D296 D300:D302 D298 D297 D299 D310:D311 D308 D304:D306 D303 D307 D309 D312:D314 G320:K323 G183:K183" formula="1"/>
    <ignoredError sqref="B190:F190 F182" formulaRange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o F A A B Q S w M E F A A C A A g A V Z t z V R 7 t 5 J O j A A A A 9 g A A A B I A H A B D b 2 5 m a W c v U G F j a 2 F n Z S 5 4 b W w g o h g A K K A U A A A A A A A A A A A A A A A A A A A A A A A A A A A A h Y + x D o I w F E V / h X S n L X U x 5 F E H V 0 l M i M a 1 K R U a 4 W F o s f y b g 5 / k L 4 h R 1 M 3 x n n u G e + / X G 6 z G t o k u p n e 2 w 4 w k l J P I o O 5 K i 1 V G B n + M l 2 Q l Y a v 0 S V U m m m R 0 6 e j K j N T e n 1 P G Q g g 0 L G j X V 0 x w n r B D v i l 0 b V p F P r L 9 L 8 c W n V e o D Z G w f 4 2 R g i Y J p 0 I I y o H N E H K L X 0 F M e 5 / t D 4 T 1 0 P i h N 9 J g v C u A z R H Y + 4 N 8 A F B L A w Q U A A I A C A B V m 3 N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V Z t z V f H K P e k F A g A A 4 h 4 A A B M A H A B G b 3 J t d W x h c y 9 T Z W N 0 a W 9 u M S 5 t I K I Y A C i g F A A A A A A A A A A A A A A A A A A A A A A A A A A A A O 2 Y T 2 v C M B j G 7 4 L f I c S L Q i l N d f 7 Z 8 K R s e B N 0 J + s h W 9 O u o 0 1 c E 3 E i f v f F V b H b r O D a M H X x I j w x f W N + 7 / v k T T l 5 F g G j Y J R 8 o 7 t y q V z i L z g m L h h i n 1 h W H X R B S E S 5 B O R n x O b x M 5 H K 0 P X M M X 4 K C a / e B y E x e 4 w K Q g W v w t 6 t 8 8 h J z J 0 H v M T y S d T p s w U N G X a 5 M y b k F S + d x c K c u R 6 s G W A y i G Y h i e R M v A n f h c i s w 2 n N S K J t F o B k s C T q a j J w u 3 C 7 K D h d T / p Y 4 O n 2 p x X Y k 6 F 8 u e r x c k a g n P S 5 O n M c Y 8 o 9 F k c 9 F s 4 j u h n k 1 c / n G q s V T E Q E D S D k A B D k X a w N s N P t D L 2 e o T d 2 O p 1 H T y R O j d x k z G h K f U B F s 2 F u F r Z e 1 8 q l g B 7 8 Q 2 k u l d 0 m g K p d g w r w v C 3 I d Q P 6 p h / D s 9 d P p 1 N X Q Q d z F 7 v / D k + q S r L 4 7 P X W b 7 g l G 4 O K B / a W 2 + 3 Q p d E 6 W k w / 3 L G V M a O d y x 2 R I n f U O E + o v a 8 w f + 2 l S J G X c l y A l 1 4 X z m 1 1 n g 6 o o Q K Q z 5 g n x 2 j g + 1 h z K v r I S 9 G 7 U U E P t T W z v G 2 k Z N N U w c a 2 N B u F 9 d T S z C 6 O W V v N d U 3 2 G F w 3 G U U Y Y U c F I C 9 4 P z s 4 B 2 + 7 5 1 F W W R 3 9 X u 9 k 6 M j K i R 9 Z i v i j j s 6 A P 8 i A 1 A D K m x p I T f + q z e E y U y P Z e l u N W + S + 1 d j X d 5 i f f U a k z U L J e 8 F C M k O b x R + n h p L X j L a t z x G l q X E M 9 A d Q S w E C L Q A U A A I A C A B V m 3 N V H u 3 k k 6 M A A A D 2 A A A A E g A A A A A A A A A A A A A A A A A A A A A A Q 2 9 u Z m l n L 1 B h Y 2 t h Z 2 U u e G 1 s U E s B A i 0 A F A A C A A g A V Z t z V Q / K 6 a u k A A A A 6 Q A A A B M A A A A A A A A A A A A A A A A A 7 w A A A F t D b 2 5 0 Z W 5 0 X 1 R 5 c G V z X S 5 4 b W x Q S w E C L Q A U A A I A C A B V m 3 N V 8 c o 9 6 Q U C A A D i H g A A E w A A A A A A A A A A A A A A A A D g A Q A A R m 9 y b X V s Y X M v U 2 V j d G l v b j E u b V B L B Q Y A A A A A A w A D A M I A A A A y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V v Q A A A A A A A P O 8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Q Y W d l M D A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C 0 y N V Q w N T o w O T o y N y 4 x O D M 5 O T c 1 W i I g L z 4 8 R W 5 0 c n k g V H l w Z T 0 i R m l s b E N v b H V t b l R 5 c G V z I i B W Y W x 1 Z T 0 i c 0 J n W U d C U V l E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F n Z T A w M y 9 B d X R v U m V t b 3 Z l Z E N v b H V t b n M x L n t D b 2 x 1 b W 4 x L D B 9 J n F 1 b 3 Q 7 L C Z x d W 9 0 O 1 N l Y 3 R p b 2 4 x L 1 B h Z 2 U w M D M v Q X V 0 b 1 J l b W 9 2 Z W R D b 2 x 1 b W 5 z M S 5 7 Q 2 9 s d W 1 u M i w x f S Z x d W 9 0 O y w m c X V v d D t T Z W N 0 a W 9 u M S 9 Q Y W d l M D A z L 0 F 1 d G 9 S Z W 1 v d m V k Q 2 9 s d W 1 u c z E u e 0 N v b H V t b j M s M n 0 m c X V v d D s s J n F 1 b 3 Q 7 U 2 V j d G l v b j E v U G F n Z T A w M y 9 B d X R v U m V t b 3 Z l Z E N v b H V t b n M x L n t D b 2 x 1 b W 4 0 L D N 9 J n F 1 b 3 Q 7 L C Z x d W 9 0 O 1 N l Y 3 R p b 2 4 x L 1 B h Z 2 U w M D M v Q X V 0 b 1 J l b W 9 2 Z W R D b 2 x 1 b W 5 z M S 5 7 Q 2 9 s d W 1 u N S w 0 f S Z x d W 9 0 O y w m c X V v d D t T Z W N 0 a W 9 u M S 9 Q Y W d l M D A z L 0 F 1 d G 9 S Z W 1 v d m V k Q 2 9 s d W 1 u c z E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U G F n Z T A w M y 9 B d X R v U m V t b 3 Z l Z E N v b H V t b n M x L n t D b 2 x 1 b W 4 x L D B 9 J n F 1 b 3 Q 7 L C Z x d W 9 0 O 1 N l Y 3 R p b 2 4 x L 1 B h Z 2 U w M D M v Q X V 0 b 1 J l b W 9 2 Z W R D b 2 x 1 b W 5 z M S 5 7 Q 2 9 s d W 1 u M i w x f S Z x d W 9 0 O y w m c X V v d D t T Z W N 0 a W 9 u M S 9 Q Y W d l M D A z L 0 F 1 d G 9 S Z W 1 v d m V k Q 2 9 s d W 1 u c z E u e 0 N v b H V t b j M s M n 0 m c X V v d D s s J n F 1 b 3 Q 7 U 2 V j d G l v b j E v U G F n Z T A w M y 9 B d X R v U m V t b 3 Z l Z E N v b H V t b n M x L n t D b 2 x 1 b W 4 0 L D N 9 J n F 1 b 3 Q 7 L C Z x d W 9 0 O 1 N l Y 3 R p b 2 4 x L 1 B h Z 2 U w M D M v Q X V 0 b 1 J l b W 9 2 Z W R D b 2 x 1 b W 5 z M S 5 7 Q 2 9 s d W 1 u N S w 0 f S Z x d W 9 0 O y w m c X V v d D t T Z W N 0 a W 9 u M S 9 Q Y W d l M D A z L 0 F 1 d G 9 S Z W 1 v d m V k Q 2 9 s d W 1 u c z E u e 0 N v b H V t b j Y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h Z 2 U w M D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w M y 9 Q Y W d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D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A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w L T I 1 V D A 1 O j Q 0 O j A 3 L j M y M D U z O T R a I i A v P j x F b n R y e S B U e X B l P S J G a W x s Q 2 9 s d W 1 u V H l w Z X M i I F Z h b H V l P S J z Q m d Z R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Y W d l M D A z I C g y K S 9 B d X R v U m V t b 3 Z l Z E N v b H V t b n M x L n t D b 2 x 1 b W 4 x L D B 9 J n F 1 b 3 Q 7 L C Z x d W 9 0 O 1 N l Y 3 R p b 2 4 x L 1 B h Z 2 U w M D M g K D I p L 0 F 1 d G 9 S Z W 1 v d m V k Q 2 9 s d W 1 u c z E u e 0 N v b H V t b j I s M X 0 m c X V v d D s s J n F 1 b 3 Q 7 U 2 V j d G l v b j E v U G F n Z T A w M y A o M i k v Q X V 0 b 1 J l b W 9 2 Z W R D b 2 x 1 b W 5 z M S 5 7 Q 2 9 s d W 1 u M y w y f S Z x d W 9 0 O y w m c X V v d D t T Z W N 0 a W 9 u M S 9 Q Y W d l M D A z I C g y K S 9 B d X R v U m V t b 3 Z l Z E N v b H V t b n M x L n t D b 2 x 1 b W 4 0 L D N 9 J n F 1 b 3 Q 7 L C Z x d W 9 0 O 1 N l Y 3 R p b 2 4 x L 1 B h Z 2 U w M D M g K D I p L 0 F 1 d G 9 S Z W 1 v d m V k Q 2 9 s d W 1 u c z E u e 0 N v b H V t b j U s N H 0 m c X V v d D s s J n F 1 b 3 Q 7 U 2 V j d G l v b j E v U G F n Z T A w M y A o M i k v Q X V 0 b 1 J l b W 9 2 Z W R D b 2 x 1 b W 5 z M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Q Y W d l M D A z I C g y K S 9 B d X R v U m V t b 3 Z l Z E N v b H V t b n M x L n t D b 2 x 1 b W 4 x L D B 9 J n F 1 b 3 Q 7 L C Z x d W 9 0 O 1 N l Y 3 R p b 2 4 x L 1 B h Z 2 U w M D M g K D I p L 0 F 1 d G 9 S Z W 1 v d m V k Q 2 9 s d W 1 u c z E u e 0 N v b H V t b j I s M X 0 m c X V v d D s s J n F 1 b 3 Q 7 U 2 V j d G l v b j E v U G F n Z T A w M y A o M i k v Q X V 0 b 1 J l b W 9 2 Z W R D b 2 x 1 b W 5 z M S 5 7 Q 2 9 s d W 1 u M y w y f S Z x d W 9 0 O y w m c X V v d D t T Z W N 0 a W 9 u M S 9 Q Y W d l M D A z I C g y K S 9 B d X R v U m V t b 3 Z l Z E N v b H V t b n M x L n t D b 2 x 1 b W 4 0 L D N 9 J n F 1 b 3 Q 7 L C Z x d W 9 0 O 1 N l Y 3 R p b 2 4 x L 1 B h Z 2 U w M D M g K D I p L 0 F 1 d G 9 S Z W 1 v d m V k Q 2 9 s d W 1 u c z E u e 0 N v b H V t b j U s N H 0 m c X V v d D s s J n F 1 b 3 Q 7 U 2 V j d G l v b j E v U G F n Z T A w M y A o M i k v Q X V 0 b 1 J l b W 9 2 Z W R D b 2 x 1 b W 5 z M S 5 7 Q 2 9 s d W 1 u N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F n Z T A w M y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A z J T I w K D I p L 1 B h Z 2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w M y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D M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w L T I 1 V D A 1 O j Q 4 O j I y L j Y x M j c 1 O T J a I i A v P j x F b n R y e S B U e X B l P S J G a W x s Q 2 9 s d W 1 u V H l w Z X M i I F Z h b H V l P S J z Q m d Z R 0 J n T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Y W d l M D A z I C g z K S 9 B d X R v U m V t b 3 Z l Z E N v b H V t b n M x L n t D b 2 x 1 b W 4 x L D B 9 J n F 1 b 3 Q 7 L C Z x d W 9 0 O 1 N l Y 3 R p b 2 4 x L 1 B h Z 2 U w M D M g K D M p L 0 F 1 d G 9 S Z W 1 v d m V k Q 2 9 s d W 1 u c z E u e 0 N v b H V t b j I s M X 0 m c X V v d D s s J n F 1 b 3 Q 7 U 2 V j d G l v b j E v U G F n Z T A w M y A o M y k v Q X V 0 b 1 J l b W 9 2 Z W R D b 2 x 1 b W 5 z M S 5 7 Q 2 9 s d W 1 u M y w y f S Z x d W 9 0 O y w m c X V v d D t T Z W N 0 a W 9 u M S 9 Q Y W d l M D A z I C g z K S 9 B d X R v U m V t b 3 Z l Z E N v b H V t b n M x L n t D b 2 x 1 b W 4 0 L D N 9 J n F 1 b 3 Q 7 L C Z x d W 9 0 O 1 N l Y 3 R p b 2 4 x L 1 B h Z 2 U w M D M g K D M p L 0 F 1 d G 9 S Z W 1 v d m V k Q 2 9 s d W 1 u c z E u e 0 N v b H V t b j U s N H 0 m c X V v d D s s J n F 1 b 3 Q 7 U 2 V j d G l v b j E v U G F n Z T A w M y A o M y k v Q X V 0 b 1 J l b W 9 2 Z W R D b 2 x 1 b W 5 z M S 5 7 Q 2 9 s d W 1 u N i w 1 f S Z x d W 9 0 O y w m c X V v d D t T Z W N 0 a W 9 u M S 9 Q Y W d l M D A z I C g z K S 9 B d X R v U m V t b 3 Z l Z E N v b H V t b n M x L n t D b 2 x 1 b W 4 3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B h Z 2 U w M D M g K D M p L 0 F 1 d G 9 S Z W 1 v d m V k Q 2 9 s d W 1 u c z E u e 0 N v b H V t b j E s M H 0 m c X V v d D s s J n F 1 b 3 Q 7 U 2 V j d G l v b j E v U G F n Z T A w M y A o M y k v Q X V 0 b 1 J l b W 9 2 Z W R D b 2 x 1 b W 5 z M S 5 7 Q 2 9 s d W 1 u M i w x f S Z x d W 9 0 O y w m c X V v d D t T Z W N 0 a W 9 u M S 9 Q Y W d l M D A z I C g z K S 9 B d X R v U m V t b 3 Z l Z E N v b H V t b n M x L n t D b 2 x 1 b W 4 z L D J 9 J n F 1 b 3 Q 7 L C Z x d W 9 0 O 1 N l Y 3 R p b 2 4 x L 1 B h Z 2 U w M D M g K D M p L 0 F 1 d G 9 S Z W 1 v d m V k Q 2 9 s d W 1 u c z E u e 0 N v b H V t b j Q s M 3 0 m c X V v d D s s J n F 1 b 3 Q 7 U 2 V j d G l v b j E v U G F n Z T A w M y A o M y k v Q X V 0 b 1 J l b W 9 2 Z W R D b 2 x 1 b W 5 z M S 5 7 Q 2 9 s d W 1 u N S w 0 f S Z x d W 9 0 O y w m c X V v d D t T Z W N 0 a W 9 u M S 9 Q Y W d l M D A z I C g z K S 9 B d X R v U m V t b 3 Z l Z E N v b H V t b n M x L n t D b 2 x 1 b W 4 2 L D V 9 J n F 1 b 3 Q 7 L C Z x d W 9 0 O 1 N l Y 3 R p b 2 4 x L 1 B h Z 2 U w M D M g K D M p L 0 F 1 d G 9 S Z W 1 v d m V k Q 2 9 s d W 1 u c z E u e 0 N v b H V t b j c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h Z 2 U w M D M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w M y U y M C g z K S 9 Q Y W d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D M l M j A o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A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w L T I 1 V D A 1 O j U 1 O j M w L j U w N z A y O T Z a I i A v P j x F b n R y e S B U e X B l P S J G a W x s Q 2 9 s d W 1 u V H l w Z X M i I F Z h b H V l P S J z Q m d Z R 0 J n W U Z C Z 0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h Z 2 U w M D E v Q X V 0 b 1 J l b W 9 2 Z W R D b 2 x 1 b W 5 z M S 5 7 Q 2 9 s d W 1 u M S w w f S Z x d W 9 0 O y w m c X V v d D t T Z W N 0 a W 9 u M S 9 Q Y W d l M D A x L 0 F 1 d G 9 S Z W 1 v d m V k Q 2 9 s d W 1 u c z E u e 0 N v b H V t b j I s M X 0 m c X V v d D s s J n F 1 b 3 Q 7 U 2 V j d G l v b j E v U G F n Z T A w M S 9 B d X R v U m V t b 3 Z l Z E N v b H V t b n M x L n t D b 2 x 1 b W 4 z L D J 9 J n F 1 b 3 Q 7 L C Z x d W 9 0 O 1 N l Y 3 R p b 2 4 x L 1 B h Z 2 U w M D E v Q X V 0 b 1 J l b W 9 2 Z W R D b 2 x 1 b W 5 z M S 5 7 Q 2 9 s d W 1 u N C w z f S Z x d W 9 0 O y w m c X V v d D t T Z W N 0 a W 9 u M S 9 Q Y W d l M D A x L 0 F 1 d G 9 S Z W 1 v d m V k Q 2 9 s d W 1 u c z E u e 0 N v b H V t b j U s N H 0 m c X V v d D s s J n F 1 b 3 Q 7 U 2 V j d G l v b j E v U G F n Z T A w M S 9 B d X R v U m V t b 3 Z l Z E N v b H V t b n M x L n t D b 2 x 1 b W 4 2 L D V 9 J n F 1 b 3 Q 7 L C Z x d W 9 0 O 1 N l Y 3 R p b 2 4 x L 1 B h Z 2 U w M D E v Q X V 0 b 1 J l b W 9 2 Z W R D b 2 x 1 b W 5 z M S 5 7 Q 2 9 s d W 1 u N y w 2 f S Z x d W 9 0 O y w m c X V v d D t T Z W N 0 a W 9 u M S 9 Q Y W d l M D A x L 0 F 1 d G 9 S Z W 1 v d m V k Q 2 9 s d W 1 u c z E u e 0 N v b H V t b j g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U G F n Z T A w M S 9 B d X R v U m V t b 3 Z l Z E N v b H V t b n M x L n t D b 2 x 1 b W 4 x L D B 9 J n F 1 b 3 Q 7 L C Z x d W 9 0 O 1 N l Y 3 R p b 2 4 x L 1 B h Z 2 U w M D E v Q X V 0 b 1 J l b W 9 2 Z W R D b 2 x 1 b W 5 z M S 5 7 Q 2 9 s d W 1 u M i w x f S Z x d W 9 0 O y w m c X V v d D t T Z W N 0 a W 9 u M S 9 Q Y W d l M D A x L 0 F 1 d G 9 S Z W 1 v d m V k Q 2 9 s d W 1 u c z E u e 0 N v b H V t b j M s M n 0 m c X V v d D s s J n F 1 b 3 Q 7 U 2 V j d G l v b j E v U G F n Z T A w M S 9 B d X R v U m V t b 3 Z l Z E N v b H V t b n M x L n t D b 2 x 1 b W 4 0 L D N 9 J n F 1 b 3 Q 7 L C Z x d W 9 0 O 1 N l Y 3 R p b 2 4 x L 1 B h Z 2 U w M D E v Q X V 0 b 1 J l b W 9 2 Z W R D b 2 x 1 b W 5 z M S 5 7 Q 2 9 s d W 1 u N S w 0 f S Z x d W 9 0 O y w m c X V v d D t T Z W N 0 a W 9 u M S 9 Q Y W d l M D A x L 0 F 1 d G 9 S Z W 1 v d m V k Q 2 9 s d W 1 u c z E u e 0 N v b H V t b j Y s N X 0 m c X V v d D s s J n F 1 b 3 Q 7 U 2 V j d G l v b j E v U G F n Z T A w M S 9 B d X R v U m V t b 3 Z l Z E N v b H V t b n M x L n t D b 2 x 1 b W 4 3 L D Z 9 J n F 1 b 3 Q 7 L C Z x d W 9 0 O 1 N l Y 3 R p b 2 4 x L 1 B h Z 2 U w M D E v Q X V 0 b 1 J l b W 9 2 Z W R D b 2 x 1 b W 5 z M S 5 7 Q 2 9 s d W 1 u O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F n Z T A w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A x L 1 B h Z 2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w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D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A t M j V U M D Y 6 M D A 6 N T I u N z U w M D k 2 N V o i I C 8 + P E V u d H J 5 I F R 5 c G U 9 I k Z p b G x D b 2 x 1 b W 5 U e X B l c y I g V m F s d W U 9 I n N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F n Z T A w M S A o M i k v Q X V 0 b 1 J l b W 9 2 Z W R D b 2 x 1 b W 5 z M S 5 7 Q 2 9 s d W 1 u M S w w f S Z x d W 9 0 O y w m c X V v d D t T Z W N 0 a W 9 u M S 9 Q Y W d l M D A x I C g y K S 9 B d X R v U m V t b 3 Z l Z E N v b H V t b n M x L n t D b 2 x 1 b W 4 y L D F 9 J n F 1 b 3 Q 7 L C Z x d W 9 0 O 1 N l Y 3 R p b 2 4 x L 1 B h Z 2 U w M D E g K D I p L 0 F 1 d G 9 S Z W 1 v d m V k Q 2 9 s d W 1 u c z E u e 0 N v b H V t b j M s M n 0 m c X V v d D s s J n F 1 b 3 Q 7 U 2 V j d G l v b j E v U G F n Z T A w M S A o M i k v Q X V 0 b 1 J l b W 9 2 Z W R D b 2 x 1 b W 5 z M S 5 7 Q 2 9 s d W 1 u N C w z f S Z x d W 9 0 O y w m c X V v d D t T Z W N 0 a W 9 u M S 9 Q Y W d l M D A x I C g y K S 9 B d X R v U m V t b 3 Z l Z E N v b H V t b n M x L n t D b 2 x 1 b W 4 1 L D R 9 J n F 1 b 3 Q 7 L C Z x d W 9 0 O 1 N l Y 3 R p b 2 4 x L 1 B h Z 2 U w M D E g K D I p L 0 F 1 d G 9 S Z W 1 v d m V k Q 2 9 s d W 1 u c z E u e 0 N v b H V t b j Y s N X 0 m c X V v d D s s J n F 1 b 3 Q 7 U 2 V j d G l v b j E v U G F n Z T A w M S A o M i k v Q X V 0 b 1 J l b W 9 2 Z W R D b 2 x 1 b W 5 z M S 5 7 Q 2 9 s d W 1 u N y w 2 f S Z x d W 9 0 O y w m c X V v d D t T Z W N 0 a W 9 u M S 9 Q Y W d l M D A x I C g y K S 9 B d X R v U m V t b 3 Z l Z E N v b H V t b n M x L n t D b 2 x 1 b W 4 4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B h Z 2 U w M D E g K D I p L 0 F 1 d G 9 S Z W 1 v d m V k Q 2 9 s d W 1 u c z E u e 0 N v b H V t b j E s M H 0 m c X V v d D s s J n F 1 b 3 Q 7 U 2 V j d G l v b j E v U G F n Z T A w M S A o M i k v Q X V 0 b 1 J l b W 9 2 Z W R D b 2 x 1 b W 5 z M S 5 7 Q 2 9 s d W 1 u M i w x f S Z x d W 9 0 O y w m c X V v d D t T Z W N 0 a W 9 u M S 9 Q Y W d l M D A x I C g y K S 9 B d X R v U m V t b 3 Z l Z E N v b H V t b n M x L n t D b 2 x 1 b W 4 z L D J 9 J n F 1 b 3 Q 7 L C Z x d W 9 0 O 1 N l Y 3 R p b 2 4 x L 1 B h Z 2 U w M D E g K D I p L 0 F 1 d G 9 S Z W 1 v d m V k Q 2 9 s d W 1 u c z E u e 0 N v b H V t b j Q s M 3 0 m c X V v d D s s J n F 1 b 3 Q 7 U 2 V j d G l v b j E v U G F n Z T A w M S A o M i k v Q X V 0 b 1 J l b W 9 2 Z W R D b 2 x 1 b W 5 z M S 5 7 Q 2 9 s d W 1 u N S w 0 f S Z x d W 9 0 O y w m c X V v d D t T Z W N 0 a W 9 u M S 9 Q Y W d l M D A x I C g y K S 9 B d X R v U m V t b 3 Z l Z E N v b H V t b n M x L n t D b 2 x 1 b W 4 2 L D V 9 J n F 1 b 3 Q 7 L C Z x d W 9 0 O 1 N l Y 3 R p b 2 4 x L 1 B h Z 2 U w M D E g K D I p L 0 F 1 d G 9 S Z W 1 v d m V k Q 2 9 s d W 1 u c z E u e 0 N v b H V t b j c s N n 0 m c X V v d D s s J n F 1 b 3 Q 7 U 2 V j d G l v b j E v U G F n Z T A w M S A o M i k v Q X V 0 b 1 J l b W 9 2 Z W R D b 2 x 1 b W 5 z M S 5 7 Q 2 9 s d W 1 u O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F n Z T A w M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A x J T I w K D I p L 1 B h Z 2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w M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D E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A t M j V U M D Y 6 M z k 6 M D U u M T A x N j E x M 1 o i I C 8 + P E V u d H J 5 I F R 5 c G U 9 I k Z p b G x D b 2 x 1 b W 5 U e X B l c y I g V m F s d W U 9 I n N C Z 1 l H Q m d Z R i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h Z 2 U w M D E g K D M p L 0 F 1 d G 9 S Z W 1 v d m V k Q 2 9 s d W 1 u c z E u e 0 N v b H V t b j E s M H 0 m c X V v d D s s J n F 1 b 3 Q 7 U 2 V j d G l v b j E v U G F n Z T A w M S A o M y k v Q X V 0 b 1 J l b W 9 2 Z W R D b 2 x 1 b W 5 z M S 5 7 Q 2 9 s d W 1 u M i w x f S Z x d W 9 0 O y w m c X V v d D t T Z W N 0 a W 9 u M S 9 Q Y W d l M D A x I C g z K S 9 B d X R v U m V t b 3 Z l Z E N v b H V t b n M x L n t D b 2 x 1 b W 4 z L D J 9 J n F 1 b 3 Q 7 L C Z x d W 9 0 O 1 N l Y 3 R p b 2 4 x L 1 B h Z 2 U w M D E g K D M p L 0 F 1 d G 9 S Z W 1 v d m V k Q 2 9 s d W 1 u c z E u e 0 N v b H V t b j Q s M 3 0 m c X V v d D s s J n F 1 b 3 Q 7 U 2 V j d G l v b j E v U G F n Z T A w M S A o M y k v Q X V 0 b 1 J l b W 9 2 Z W R D b 2 x 1 b W 5 z M S 5 7 Q 2 9 s d W 1 u N S w 0 f S Z x d W 9 0 O y w m c X V v d D t T Z W N 0 a W 9 u M S 9 Q Y W d l M D A x I C g z K S 9 B d X R v U m V t b 3 Z l Z E N v b H V t b n M x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1 B h Z 2 U w M D E g K D M p L 0 F 1 d G 9 S Z W 1 v d m V k Q 2 9 s d W 1 u c z E u e 0 N v b H V t b j E s M H 0 m c X V v d D s s J n F 1 b 3 Q 7 U 2 V j d G l v b j E v U G F n Z T A w M S A o M y k v Q X V 0 b 1 J l b W 9 2 Z W R D b 2 x 1 b W 5 z M S 5 7 Q 2 9 s d W 1 u M i w x f S Z x d W 9 0 O y w m c X V v d D t T Z W N 0 a W 9 u M S 9 Q Y W d l M D A x I C g z K S 9 B d X R v U m V t b 3 Z l Z E N v b H V t b n M x L n t D b 2 x 1 b W 4 z L D J 9 J n F 1 b 3 Q 7 L C Z x d W 9 0 O 1 N l Y 3 R p b 2 4 x L 1 B h Z 2 U w M D E g K D M p L 0 F 1 d G 9 S Z W 1 v d m V k Q 2 9 s d W 1 u c z E u e 0 N v b H V t b j Q s M 3 0 m c X V v d D s s J n F 1 b 3 Q 7 U 2 V j d G l v b j E v U G F n Z T A w M S A o M y k v Q X V 0 b 1 J l b W 9 2 Z W R D b 2 x 1 b W 5 z M S 5 7 Q 2 9 s d W 1 u N S w 0 f S Z x d W 9 0 O y w m c X V v d D t T Z W N 0 a W 9 u M S 9 Q Y W d l M D A x I C g z K S 9 B d X R v U m V t b 3 Z l Z E N v b H V t b n M x L n t D b 2 x 1 b W 4 2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Y W d l M D A x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D E l M j A o M y k v U G F n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A x J T I w K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w M S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C 0 y N V Q w N j o 0 M z o 0 M y 4 3 O T c 0 O D A 2 W i I g L z 4 8 R W 5 0 c n k g V H l w Z T 0 i R m l s b E N v b H V t b l R 5 c G V z I i B W Y W x 1 Z T 0 i c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F n Z T A w M S A o N C k v Q X V 0 b 1 J l b W 9 2 Z W R D b 2 x 1 b W 5 z M S 5 7 Q 2 9 s d W 1 u M S w w f S Z x d W 9 0 O y w m c X V v d D t T Z W N 0 a W 9 u M S 9 Q Y W d l M D A x I C g 0 K S 9 B d X R v U m V t b 3 Z l Z E N v b H V t b n M x L n t D b 2 x 1 b W 4 y L D F 9 J n F 1 b 3 Q 7 L C Z x d W 9 0 O 1 N l Y 3 R p b 2 4 x L 1 B h Z 2 U w M D E g K D Q p L 0 F 1 d G 9 S Z W 1 v d m V k Q 2 9 s d W 1 u c z E u e 0 N v b H V t b j M s M n 0 m c X V v d D s s J n F 1 b 3 Q 7 U 2 V j d G l v b j E v U G F n Z T A w M S A o N C k v Q X V 0 b 1 J l b W 9 2 Z W R D b 2 x 1 b W 5 z M S 5 7 Q 2 9 s d W 1 u N C w z f S Z x d W 9 0 O y w m c X V v d D t T Z W N 0 a W 9 u M S 9 Q Y W d l M D A x I C g 0 K S 9 B d X R v U m V t b 3 Z l Z E N v b H V t b n M x L n t D b 2 x 1 b W 4 1 L D R 9 J n F 1 b 3 Q 7 L C Z x d W 9 0 O 1 N l Y 3 R p b 2 4 x L 1 B h Z 2 U w M D E g K D Q p L 0 F 1 d G 9 S Z W 1 v d m V k Q 2 9 s d W 1 u c z E u e 0 N v b H V t b j Y s N X 0 m c X V v d D s s J n F 1 b 3 Q 7 U 2 V j d G l v b j E v U G F n Z T A w M S A o N C k v Q X V 0 b 1 J l b W 9 2 Z W R D b 2 x 1 b W 5 z M S 5 7 Q 2 9 s d W 1 u N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Q Y W d l M D A x I C g 0 K S 9 B d X R v U m V t b 3 Z l Z E N v b H V t b n M x L n t D b 2 x 1 b W 4 x L D B 9 J n F 1 b 3 Q 7 L C Z x d W 9 0 O 1 N l Y 3 R p b 2 4 x L 1 B h Z 2 U w M D E g K D Q p L 0 F 1 d G 9 S Z W 1 v d m V k Q 2 9 s d W 1 u c z E u e 0 N v b H V t b j I s M X 0 m c X V v d D s s J n F 1 b 3 Q 7 U 2 V j d G l v b j E v U G F n Z T A w M S A o N C k v Q X V 0 b 1 J l b W 9 2 Z W R D b 2 x 1 b W 5 z M S 5 7 Q 2 9 s d W 1 u M y w y f S Z x d W 9 0 O y w m c X V v d D t T Z W N 0 a W 9 u M S 9 Q Y W d l M D A x I C g 0 K S 9 B d X R v U m V t b 3 Z l Z E N v b H V t b n M x L n t D b 2 x 1 b W 4 0 L D N 9 J n F 1 b 3 Q 7 L C Z x d W 9 0 O 1 N l Y 3 R p b 2 4 x L 1 B h Z 2 U w M D E g K D Q p L 0 F 1 d G 9 S Z W 1 v d m V k Q 2 9 s d W 1 u c z E u e 0 N v b H V t b j U s N H 0 m c X V v d D s s J n F 1 b 3 Q 7 U 2 V j d G l v b j E v U G F n Z T A w M S A o N C k v Q X V 0 b 1 J l b W 9 2 Z W R D b 2 x 1 b W 5 z M S 5 7 Q 2 9 s d W 1 u N i w 1 f S Z x d W 9 0 O y w m c X V v d D t T Z W N 0 a W 9 u M S 9 Q Y W d l M D A x I C g 0 K S 9 B d X R v U m V t b 3 Z l Z E N v b H V t b n M x L n t D b 2 x 1 b W 4 3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Y W d l M D A x J T I w K D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D E l M j A o N C k v U G F n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A x J T I w K D Q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w M S U y M C g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S 0 x O V Q x M T o z N D o 1 N C 4 z N z I x M z E 1 W i I g L z 4 8 R W 5 0 c n k g V H l w Z T 0 i R m l s b E N v b H V t b l R 5 c G V z I i B W Y W x 1 Z T 0 i c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F n Z T A w M S A o N S k v Q X V 0 b 1 J l b W 9 2 Z W R D b 2 x 1 b W 5 z M S 5 7 Q 2 9 s d W 1 u M S w w f S Z x d W 9 0 O y w m c X V v d D t T Z W N 0 a W 9 u M S 9 Q Y W d l M D A x I C g 1 K S 9 B d X R v U m V t b 3 Z l Z E N v b H V t b n M x L n t D b 2 x 1 b W 4 y L D F 9 J n F 1 b 3 Q 7 L C Z x d W 9 0 O 1 N l Y 3 R p b 2 4 x L 1 B h Z 2 U w M D E g K D U p L 0 F 1 d G 9 S Z W 1 v d m V k Q 2 9 s d W 1 u c z E u e 0 N v b H V t b j M s M n 0 m c X V v d D s s J n F 1 b 3 Q 7 U 2 V j d G l v b j E v U G F n Z T A w M S A o N S k v Q X V 0 b 1 J l b W 9 2 Z W R D b 2 x 1 b W 5 z M S 5 7 Q 2 9 s d W 1 u N C w z f S Z x d W 9 0 O y w m c X V v d D t T Z W N 0 a W 9 u M S 9 Q Y W d l M D A x I C g 1 K S 9 B d X R v U m V t b 3 Z l Z E N v b H V t b n M x L n t D b 2 x 1 b W 4 1 L D R 9 J n F 1 b 3 Q 7 L C Z x d W 9 0 O 1 N l Y 3 R p b 2 4 x L 1 B h Z 2 U w M D E g K D U p L 0 F 1 d G 9 S Z W 1 v d m V k Q 2 9 s d W 1 u c z E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U G F n Z T A w M S A o N S k v Q X V 0 b 1 J l b W 9 2 Z W R D b 2 x 1 b W 5 z M S 5 7 Q 2 9 s d W 1 u M S w w f S Z x d W 9 0 O y w m c X V v d D t T Z W N 0 a W 9 u M S 9 Q Y W d l M D A x I C g 1 K S 9 B d X R v U m V t b 3 Z l Z E N v b H V t b n M x L n t D b 2 x 1 b W 4 y L D F 9 J n F 1 b 3 Q 7 L C Z x d W 9 0 O 1 N l Y 3 R p b 2 4 x L 1 B h Z 2 U w M D E g K D U p L 0 F 1 d G 9 S Z W 1 v d m V k Q 2 9 s d W 1 u c z E u e 0 N v b H V t b j M s M n 0 m c X V v d D s s J n F 1 b 3 Q 7 U 2 V j d G l v b j E v U G F n Z T A w M S A o N S k v Q X V 0 b 1 J l b W 9 2 Z W R D b 2 x 1 b W 5 z M S 5 7 Q 2 9 s d W 1 u N C w z f S Z x d W 9 0 O y w m c X V v d D t T Z W N 0 a W 9 u M S 9 Q Y W d l M D A x I C g 1 K S 9 B d X R v U m V t b 3 Z l Z E N v b H V t b n M x L n t D b 2 x 1 b W 4 1 L D R 9 J n F 1 b 3 Q 7 L C Z x d W 9 0 O 1 N l Y 3 R p b 2 4 x L 1 B h Z 2 U w M D E g K D U p L 0 F 1 d G 9 S Z W 1 v d m V k Q 2 9 s d W 1 u c z E u e 0 N v b H V t b j Y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h Z 2 U w M D E l M j A o N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w M S U y M C g 1 K S 9 Q Y W d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D E l M j A o N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A x J T I w K D Y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x L T E 5 V D E x O j U w O j M x L j I 0 M D c 1 O D V a I i A v P j x F b n R y e S B U e X B l P S J G a W x s Q 2 9 s d W 1 u V H l w Z X M i I F Z h b H V l P S J z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Y W d l M D A x I C g 2 K S 9 B d X R v U m V t b 3 Z l Z E N v b H V t b n M x L n t D b 2 x 1 b W 4 x L D B 9 J n F 1 b 3 Q 7 L C Z x d W 9 0 O 1 N l Y 3 R p b 2 4 x L 1 B h Z 2 U w M D E g K D Y p L 0 F 1 d G 9 S Z W 1 v d m V k Q 2 9 s d W 1 u c z E u e 0 N v b H V t b j I s M X 0 m c X V v d D s s J n F 1 b 3 Q 7 U 2 V j d G l v b j E v U G F n Z T A w M S A o N i k v Q X V 0 b 1 J l b W 9 2 Z W R D b 2 x 1 b W 5 z M S 5 7 Q 2 9 s d W 1 u M y w y f S Z x d W 9 0 O y w m c X V v d D t T Z W N 0 a W 9 u M S 9 Q Y W d l M D A x I C g 2 K S 9 B d X R v U m V t b 3 Z l Z E N v b H V t b n M x L n t D b 2 x 1 b W 4 0 L D N 9 J n F 1 b 3 Q 7 L C Z x d W 9 0 O 1 N l Y 3 R p b 2 4 x L 1 B h Z 2 U w M D E g K D Y p L 0 F 1 d G 9 S Z W 1 v d m V k Q 2 9 s d W 1 u c z E u e 0 N v b H V t b j U s N H 0 m c X V v d D s s J n F 1 b 3 Q 7 U 2 V j d G l v b j E v U G F n Z T A w M S A o N i k v Q X V 0 b 1 J l b W 9 2 Z W R D b 2 x 1 b W 5 z M S 5 7 Q 2 9 s d W 1 u N i w 1 f S Z x d W 9 0 O y w m c X V v d D t T Z W N 0 a W 9 u M S 9 Q Y W d l M D A x I C g 2 K S 9 B d X R v U m V t b 3 Z l Z E N v b H V t b n M x L n t D b 2 x 1 b W 4 3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B h Z 2 U w M D E g K D Y p L 0 F 1 d G 9 S Z W 1 v d m V k Q 2 9 s d W 1 u c z E u e 0 N v b H V t b j E s M H 0 m c X V v d D s s J n F 1 b 3 Q 7 U 2 V j d G l v b j E v U G F n Z T A w M S A o N i k v Q X V 0 b 1 J l b W 9 2 Z W R D b 2 x 1 b W 5 z M S 5 7 Q 2 9 s d W 1 u M i w x f S Z x d W 9 0 O y w m c X V v d D t T Z W N 0 a W 9 u M S 9 Q Y W d l M D A x I C g 2 K S 9 B d X R v U m V t b 3 Z l Z E N v b H V t b n M x L n t D b 2 x 1 b W 4 z L D J 9 J n F 1 b 3 Q 7 L C Z x d W 9 0 O 1 N l Y 3 R p b 2 4 x L 1 B h Z 2 U w M D E g K D Y p L 0 F 1 d G 9 S Z W 1 v d m V k Q 2 9 s d W 1 u c z E u e 0 N v b H V t b j Q s M 3 0 m c X V v d D s s J n F 1 b 3 Q 7 U 2 V j d G l v b j E v U G F n Z T A w M S A o N i k v Q X V 0 b 1 J l b W 9 2 Z W R D b 2 x 1 b W 5 z M S 5 7 Q 2 9 s d W 1 u N S w 0 f S Z x d W 9 0 O y w m c X V v d D t T Z W N 0 a W 9 u M S 9 Q Y W d l M D A x I C g 2 K S 9 B d X R v U m V t b 3 Z l Z E N v b H V t b n M x L n t D b 2 x 1 b W 4 2 L D V 9 J n F 1 b 3 Q 7 L C Z x d W 9 0 O 1 N l Y 3 R p b 2 4 x L 1 B h Z 2 U w M D E g K D Y p L 0 F 1 d G 9 S Z W 1 v d m V k Q 2 9 s d W 1 u c z E u e 0 N v b H V t b j c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h Z 2 U w M D E l M j A o N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w M S U y M C g 2 K S 9 Q Y W d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D E l M j A o N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A x J T I w K D c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x L T E 5 V D E x O j U 4 O j M 1 L j k 1 M D E 5 N T d a I i A v P j x F b n R y e S B U e X B l P S J G a W x s Q 2 9 s d W 1 u V H l w Z X M i I F Z h b H V l P S J z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Y W d l M D A x I C g 3 K S 9 B d X R v U m V t b 3 Z l Z E N v b H V t b n M x L n t D b 2 x 1 b W 4 x L D B 9 J n F 1 b 3 Q 7 L C Z x d W 9 0 O 1 N l Y 3 R p b 2 4 x L 1 B h Z 2 U w M D E g K D c p L 0 F 1 d G 9 S Z W 1 v d m V k Q 2 9 s d W 1 u c z E u e 0 N v b H V t b j I s M X 0 m c X V v d D s s J n F 1 b 3 Q 7 U 2 V j d G l v b j E v U G F n Z T A w M S A o N y k v Q X V 0 b 1 J l b W 9 2 Z W R D b 2 x 1 b W 5 z M S 5 7 Q 2 9 s d W 1 u M y w y f S Z x d W 9 0 O y w m c X V v d D t T Z W N 0 a W 9 u M S 9 Q Y W d l M D A x I C g 3 K S 9 B d X R v U m V t b 3 Z l Z E N v b H V t b n M x L n t D b 2 x 1 b W 4 0 L D N 9 J n F 1 b 3 Q 7 L C Z x d W 9 0 O 1 N l Y 3 R p b 2 4 x L 1 B h Z 2 U w M D E g K D c p L 0 F 1 d G 9 S Z W 1 v d m V k Q 2 9 s d W 1 u c z E u e 0 N v b H V t b j U s N H 0 m c X V v d D s s J n F 1 b 3 Q 7 U 2 V j d G l v b j E v U G F n Z T A w M S A o N y k v Q X V 0 b 1 J l b W 9 2 Z W R D b 2 x 1 b W 5 z M S 5 7 Q 2 9 s d W 1 u N i w 1 f S Z x d W 9 0 O y w m c X V v d D t T Z W N 0 a W 9 u M S 9 Q Y W d l M D A x I C g 3 K S 9 B d X R v U m V t b 3 Z l Z E N v b H V t b n M x L n t D b 2 x 1 b W 4 3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B h Z 2 U w M D E g K D c p L 0 F 1 d G 9 S Z W 1 v d m V k Q 2 9 s d W 1 u c z E u e 0 N v b H V t b j E s M H 0 m c X V v d D s s J n F 1 b 3 Q 7 U 2 V j d G l v b j E v U G F n Z T A w M S A o N y k v Q X V 0 b 1 J l b W 9 2 Z W R D b 2 x 1 b W 5 z M S 5 7 Q 2 9 s d W 1 u M i w x f S Z x d W 9 0 O y w m c X V v d D t T Z W N 0 a W 9 u M S 9 Q Y W d l M D A x I C g 3 K S 9 B d X R v U m V t b 3 Z l Z E N v b H V t b n M x L n t D b 2 x 1 b W 4 z L D J 9 J n F 1 b 3 Q 7 L C Z x d W 9 0 O 1 N l Y 3 R p b 2 4 x L 1 B h Z 2 U w M D E g K D c p L 0 F 1 d G 9 S Z W 1 v d m V k Q 2 9 s d W 1 u c z E u e 0 N v b H V t b j Q s M 3 0 m c X V v d D s s J n F 1 b 3 Q 7 U 2 V j d G l v b j E v U G F n Z T A w M S A o N y k v Q X V 0 b 1 J l b W 9 2 Z W R D b 2 x 1 b W 5 z M S 5 7 Q 2 9 s d W 1 u N S w 0 f S Z x d W 9 0 O y w m c X V v d D t T Z W N 0 a W 9 u M S 9 Q Y W d l M D A x I C g 3 K S 9 B d X R v U m V t b 3 Z l Z E N v b H V t b n M x L n t D b 2 x 1 b W 4 2 L D V 9 J n F 1 b 3 Q 7 L C Z x d W 9 0 O 1 N l Y 3 R p b 2 4 x L 1 B h Z 2 U w M D E g K D c p L 0 F 1 d G 9 S Z W 1 v d m V k Q 2 9 s d W 1 u c z E u e 0 N v b H V t b j c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h Z 2 U w M D E l M j A o N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w M S U y M C g 3 K S 9 Q Y W d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D E l M j A o N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A x J T I w K D g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x L T E 5 V D E y O j A 4 O j I 5 L j A 3 M D Y y N z h a I i A v P j x F b n R y e S B U e X B l P S J G a W x s Q 2 9 s d W 1 u V H l w Z X M i I F Z h b H V l P S J z Q m d Z R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Y W d l M D A x I C g 4 K S 9 B d X R v U m V t b 3 Z l Z E N v b H V t b n M x L n t D b 2 x 1 b W 4 x L D B 9 J n F 1 b 3 Q 7 L C Z x d W 9 0 O 1 N l Y 3 R p b 2 4 x L 1 B h Z 2 U w M D E g K D g p L 0 F 1 d G 9 S Z W 1 v d m V k Q 2 9 s d W 1 u c z E u e 0 N v b H V t b j I s M X 0 m c X V v d D s s J n F 1 b 3 Q 7 U 2 V j d G l v b j E v U G F n Z T A w M S A o O C k v Q X V 0 b 1 J l b W 9 2 Z W R D b 2 x 1 b W 5 z M S 5 7 Q 2 9 s d W 1 u M y w y f S Z x d W 9 0 O y w m c X V v d D t T Z W N 0 a W 9 u M S 9 Q Y W d l M D A x I C g 4 K S 9 B d X R v U m V t b 3 Z l Z E N v b H V t b n M x L n t D b 2 x 1 b W 4 0 L D N 9 J n F 1 b 3 Q 7 L C Z x d W 9 0 O 1 N l Y 3 R p b 2 4 x L 1 B h Z 2 U w M D E g K D g p L 0 F 1 d G 9 S Z W 1 v d m V k Q 2 9 s d W 1 u c z E u e 0 N v b H V t b j U s N H 0 m c X V v d D s s J n F 1 b 3 Q 7 U 2 V j d G l v b j E v U G F n Z T A w M S A o O C k v Q X V 0 b 1 J l b W 9 2 Z W R D b 2 x 1 b W 5 z M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Q Y W d l M D A x I C g 4 K S 9 B d X R v U m V t b 3 Z l Z E N v b H V t b n M x L n t D b 2 x 1 b W 4 x L D B 9 J n F 1 b 3 Q 7 L C Z x d W 9 0 O 1 N l Y 3 R p b 2 4 x L 1 B h Z 2 U w M D E g K D g p L 0 F 1 d G 9 S Z W 1 v d m V k Q 2 9 s d W 1 u c z E u e 0 N v b H V t b j I s M X 0 m c X V v d D s s J n F 1 b 3 Q 7 U 2 V j d G l v b j E v U G F n Z T A w M S A o O C k v Q X V 0 b 1 J l b W 9 2 Z W R D b 2 x 1 b W 5 z M S 5 7 Q 2 9 s d W 1 u M y w y f S Z x d W 9 0 O y w m c X V v d D t T Z W N 0 a W 9 u M S 9 Q Y W d l M D A x I C g 4 K S 9 B d X R v U m V t b 3 Z l Z E N v b H V t b n M x L n t D b 2 x 1 b W 4 0 L D N 9 J n F 1 b 3 Q 7 L C Z x d W 9 0 O 1 N l Y 3 R p b 2 4 x L 1 B h Z 2 U w M D E g K D g p L 0 F 1 d G 9 S Z W 1 v d m V k Q 2 9 s d W 1 u c z E u e 0 N v b H V t b j U s N H 0 m c X V v d D s s J n F 1 b 3 Q 7 U 2 V j d G l v b j E v U G F n Z T A w M S A o O C k v Q X V 0 b 1 J l b W 9 2 Z W R D b 2 x 1 b W 5 z M S 5 7 Q 2 9 s d W 1 u N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F n Z T A w M S U y M C g 4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A x J T I w K D g p L 1 B h Z 2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w M S U y M C g 4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D E l M j A o O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S 0 x O V Q x M j o z N j o y N C 4 z O T c 1 N D k y W i I g L z 4 8 R W 5 0 c n k g V H l w Z T 0 i R m l s b E N v b H V t b l R 5 c G V z I i B W Y W x 1 Z T 0 i c 0 F 3 W U d C Z 1 l H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F n Z T A w M S A o O S k v Q X V 0 b 1 J l b W 9 2 Z W R D b 2 x 1 b W 5 z M S 5 7 Q 2 9 s d W 1 u M S w w f S Z x d W 9 0 O y w m c X V v d D t T Z W N 0 a W 9 u M S 9 Q Y W d l M D A x I C g 5 K S 9 B d X R v U m V t b 3 Z l Z E N v b H V t b n M x L n t D b 2 x 1 b W 4 y L D F 9 J n F 1 b 3 Q 7 L C Z x d W 9 0 O 1 N l Y 3 R p b 2 4 x L 1 B h Z 2 U w M D E g K D k p L 0 F 1 d G 9 S Z W 1 v d m V k Q 2 9 s d W 1 u c z E u e 0 N v b H V t b j M s M n 0 m c X V v d D s s J n F 1 b 3 Q 7 U 2 V j d G l v b j E v U G F n Z T A w M S A o O S k v Q X V 0 b 1 J l b W 9 2 Z W R D b 2 x 1 b W 5 z M S 5 7 Q 2 9 s d W 1 u N C w z f S Z x d W 9 0 O y w m c X V v d D t T Z W N 0 a W 9 u M S 9 Q Y W d l M D A x I C g 5 K S 9 B d X R v U m V t b 3 Z l Z E N v b H V t b n M x L n t D b 2 x 1 b W 4 1 L D R 9 J n F 1 b 3 Q 7 L C Z x d W 9 0 O 1 N l Y 3 R p b 2 4 x L 1 B h Z 2 U w M D E g K D k p L 0 F 1 d G 9 S Z W 1 v d m V k Q 2 9 s d W 1 u c z E u e 0 N v b H V t b j Y s N X 0 m c X V v d D s s J n F 1 b 3 Q 7 U 2 V j d G l v b j E v U G F n Z T A w M S A o O S k v Q X V 0 b 1 J l b W 9 2 Z W R D b 2 x 1 b W 5 z M S 5 7 Q 2 9 s d W 1 u N y w 2 f S Z x d W 9 0 O y w m c X V v d D t T Z W N 0 a W 9 u M S 9 Q Y W d l M D A x I C g 5 K S 9 B d X R v U m V t b 3 Z l Z E N v b H V t b n M x L n t D b 2 x 1 b W 4 4 L D d 9 J n F 1 b 3 Q 7 L C Z x d W 9 0 O 1 N l Y 3 R p b 2 4 x L 1 B h Z 2 U w M D E g K D k p L 0 F 1 d G 9 S Z W 1 v d m V k Q 2 9 s d W 1 u c z E u e 0 N v b H V t b j k s O H 0 m c X V v d D s s J n F 1 b 3 Q 7 U 2 V j d G l v b j E v U G F n Z T A w M S A o O S k v Q X V 0 b 1 J l b W 9 2 Z W R D b 2 x 1 b W 5 z M S 5 7 Q 2 9 s d W 1 u M T A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1 B h Z 2 U w M D E g K D k p L 0 F 1 d G 9 S Z W 1 v d m V k Q 2 9 s d W 1 u c z E u e 0 N v b H V t b j E s M H 0 m c X V v d D s s J n F 1 b 3 Q 7 U 2 V j d G l v b j E v U G F n Z T A w M S A o O S k v Q X V 0 b 1 J l b W 9 2 Z W R D b 2 x 1 b W 5 z M S 5 7 Q 2 9 s d W 1 u M i w x f S Z x d W 9 0 O y w m c X V v d D t T Z W N 0 a W 9 u M S 9 Q Y W d l M D A x I C g 5 K S 9 B d X R v U m V t b 3 Z l Z E N v b H V t b n M x L n t D b 2 x 1 b W 4 z L D J 9 J n F 1 b 3 Q 7 L C Z x d W 9 0 O 1 N l Y 3 R p b 2 4 x L 1 B h Z 2 U w M D E g K D k p L 0 F 1 d G 9 S Z W 1 v d m V k Q 2 9 s d W 1 u c z E u e 0 N v b H V t b j Q s M 3 0 m c X V v d D s s J n F 1 b 3 Q 7 U 2 V j d G l v b j E v U G F n Z T A w M S A o O S k v Q X V 0 b 1 J l b W 9 2 Z W R D b 2 x 1 b W 5 z M S 5 7 Q 2 9 s d W 1 u N S w 0 f S Z x d W 9 0 O y w m c X V v d D t T Z W N 0 a W 9 u M S 9 Q Y W d l M D A x I C g 5 K S 9 B d X R v U m V t b 3 Z l Z E N v b H V t b n M x L n t D b 2 x 1 b W 4 2 L D V 9 J n F 1 b 3 Q 7 L C Z x d W 9 0 O 1 N l Y 3 R p b 2 4 x L 1 B h Z 2 U w M D E g K D k p L 0 F 1 d G 9 S Z W 1 v d m V k Q 2 9 s d W 1 u c z E u e 0 N v b H V t b j c s N n 0 m c X V v d D s s J n F 1 b 3 Q 7 U 2 V j d G l v b j E v U G F n Z T A w M S A o O S k v Q X V 0 b 1 J l b W 9 2 Z W R D b 2 x 1 b W 5 z M S 5 7 Q 2 9 s d W 1 u O C w 3 f S Z x d W 9 0 O y w m c X V v d D t T Z W N 0 a W 9 u M S 9 Q Y W d l M D A x I C g 5 K S 9 B d X R v U m V t b 3 Z l Z E N v b H V t b n M x L n t D b 2 x 1 b W 4 5 L D h 9 J n F 1 b 3 Q 7 L C Z x d W 9 0 O 1 N l Y 3 R p b 2 4 x L 1 B h Z 2 U w M D E g K D k p L 0 F 1 d G 9 S Z W 1 v d m V k Q 2 9 s d W 1 u c z E u e 0 N v b H V t b j E w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Y W d l M D A x J T I w K D k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D E l M j A o O S k v U G F n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A x J T I w K D k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w M S U y M C g x M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S 0 x O V Q x M z o y N D o w N C 4 5 N z Q 1 N j I 0 W i I g L z 4 8 R W 5 0 c n k g V H l w Z T 0 i R m l s b E N v b H V t b l R 5 c G V z I i B W Y W x 1 Z T 0 i c 0 F 3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F n Z T A w M S A o M T A p L 0 F 1 d G 9 S Z W 1 v d m V k Q 2 9 s d W 1 u c z E u e 0 N v b H V t b j E s M H 0 m c X V v d D s s J n F 1 b 3 Q 7 U 2 V j d G l v b j E v U G F n Z T A w M S A o M T A p L 0 F 1 d G 9 S Z W 1 v d m V k Q 2 9 s d W 1 u c z E u e 0 N v b H V t b j I s M X 0 m c X V v d D s s J n F 1 b 3 Q 7 U 2 V j d G l v b j E v U G F n Z T A w M S A o M T A p L 0 F 1 d G 9 S Z W 1 v d m V k Q 2 9 s d W 1 u c z E u e 0 N v b H V t b j M s M n 0 m c X V v d D s s J n F 1 b 3 Q 7 U 2 V j d G l v b j E v U G F n Z T A w M S A o M T A p L 0 F 1 d G 9 S Z W 1 v d m V k Q 2 9 s d W 1 u c z E u e 0 N v b H V t b j Q s M 3 0 m c X V v d D s s J n F 1 b 3 Q 7 U 2 V j d G l v b j E v U G F n Z T A w M S A o M T A p L 0 F 1 d G 9 S Z W 1 v d m V k Q 2 9 s d W 1 u c z E u e 0 N v b H V t b j U s N H 0 m c X V v d D s s J n F 1 b 3 Q 7 U 2 V j d G l v b j E v U G F n Z T A w M S A o M T A p L 0 F 1 d G 9 S Z W 1 v d m V k Q 2 9 s d W 1 u c z E u e 0 N v b H V t b j Y s N X 0 m c X V v d D s s J n F 1 b 3 Q 7 U 2 V j d G l v b j E v U G F n Z T A w M S A o M T A p L 0 F 1 d G 9 S Z W 1 v d m V k Q 2 9 s d W 1 u c z E u e 0 N v b H V t b j c s N n 0 m c X V v d D s s J n F 1 b 3 Q 7 U 2 V j d G l v b j E v U G F n Z T A w M S A o M T A p L 0 F 1 d G 9 S Z W 1 v d m V k Q 2 9 s d W 1 u c z E u e 0 N v b H V t b j g s N 3 0 m c X V v d D s s J n F 1 b 3 Q 7 U 2 V j d G l v b j E v U G F n Z T A w M S A o M T A p L 0 F 1 d G 9 S Z W 1 v d m V k Q 2 9 s d W 1 u c z E u e 0 N v b H V t b j k s O H 0 m c X V v d D s s J n F 1 b 3 Q 7 U 2 V j d G l v b j E v U G F n Z T A w M S A o M T A p L 0 F 1 d G 9 S Z W 1 v d m V k Q 2 9 s d W 1 u c z E u e 0 N v b H V t b j E w L D l 9 J n F 1 b 3 Q 7 L C Z x d W 9 0 O 1 N l Y 3 R p b 2 4 x L 1 B h Z 2 U w M D E g K D E w K S 9 B d X R v U m V t b 3 Z l Z E N v b H V t b n M x L n t D b 2 x 1 b W 4 x M S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1 B h Z 2 U w M D E g K D E w K S 9 B d X R v U m V t b 3 Z l Z E N v b H V t b n M x L n t D b 2 x 1 b W 4 x L D B 9 J n F 1 b 3 Q 7 L C Z x d W 9 0 O 1 N l Y 3 R p b 2 4 x L 1 B h Z 2 U w M D E g K D E w K S 9 B d X R v U m V t b 3 Z l Z E N v b H V t b n M x L n t D b 2 x 1 b W 4 y L D F 9 J n F 1 b 3 Q 7 L C Z x d W 9 0 O 1 N l Y 3 R p b 2 4 x L 1 B h Z 2 U w M D E g K D E w K S 9 B d X R v U m V t b 3 Z l Z E N v b H V t b n M x L n t D b 2 x 1 b W 4 z L D J 9 J n F 1 b 3 Q 7 L C Z x d W 9 0 O 1 N l Y 3 R p b 2 4 x L 1 B h Z 2 U w M D E g K D E w K S 9 B d X R v U m V t b 3 Z l Z E N v b H V t b n M x L n t D b 2 x 1 b W 4 0 L D N 9 J n F 1 b 3 Q 7 L C Z x d W 9 0 O 1 N l Y 3 R p b 2 4 x L 1 B h Z 2 U w M D E g K D E w K S 9 B d X R v U m V t b 3 Z l Z E N v b H V t b n M x L n t D b 2 x 1 b W 4 1 L D R 9 J n F 1 b 3 Q 7 L C Z x d W 9 0 O 1 N l Y 3 R p b 2 4 x L 1 B h Z 2 U w M D E g K D E w K S 9 B d X R v U m V t b 3 Z l Z E N v b H V t b n M x L n t D b 2 x 1 b W 4 2 L D V 9 J n F 1 b 3 Q 7 L C Z x d W 9 0 O 1 N l Y 3 R p b 2 4 x L 1 B h Z 2 U w M D E g K D E w K S 9 B d X R v U m V t b 3 Z l Z E N v b H V t b n M x L n t D b 2 x 1 b W 4 3 L D Z 9 J n F 1 b 3 Q 7 L C Z x d W 9 0 O 1 N l Y 3 R p b 2 4 x L 1 B h Z 2 U w M D E g K D E w K S 9 B d X R v U m V t b 3 Z l Z E N v b H V t b n M x L n t D b 2 x 1 b W 4 4 L D d 9 J n F 1 b 3 Q 7 L C Z x d W 9 0 O 1 N l Y 3 R p b 2 4 x L 1 B h Z 2 U w M D E g K D E w K S 9 B d X R v U m V t b 3 Z l Z E N v b H V t b n M x L n t D b 2 x 1 b W 4 5 L D h 9 J n F 1 b 3 Q 7 L C Z x d W 9 0 O 1 N l Y 3 R p b 2 4 x L 1 B h Z 2 U w M D E g K D E w K S 9 B d X R v U m V t b 3 Z l Z E N v b H V t b n M x L n t D b 2 x 1 b W 4 x M C w 5 f S Z x d W 9 0 O y w m c X V v d D t T Z W N 0 a W 9 u M S 9 Q Y W d l M D A x I C g x M C k v Q X V 0 b 1 J l b W 9 2 Z W R D b 2 x 1 b W 5 z M S 5 7 Q 2 9 s d W 1 u M T E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Y W d l M D A x J T I w K D E w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A x J T I w K D E w K S 9 Q Y W d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D E l M j A o M T A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w M S U y M C g x M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S 0 x O V Q x M z o y N j o 1 N i 4 1 N T A 3 M T c x W i I g L z 4 8 R W 5 0 c n k g V H l w Z T 0 i R m l s b E N v b H V t b l R 5 c G V z I i B W Y W x 1 Z T 0 i c 0 F 3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F n Z T A w M S A o M T E p L 0 F 1 d G 9 S Z W 1 v d m V k Q 2 9 s d W 1 u c z E u e 0 N v b H V t b j E s M H 0 m c X V v d D s s J n F 1 b 3 Q 7 U 2 V j d G l v b j E v U G F n Z T A w M S A o M T E p L 0 F 1 d G 9 S Z W 1 v d m V k Q 2 9 s d W 1 u c z E u e 0 N v b H V t b j I s M X 0 m c X V v d D s s J n F 1 b 3 Q 7 U 2 V j d G l v b j E v U G F n Z T A w M S A o M T E p L 0 F 1 d G 9 S Z W 1 v d m V k Q 2 9 s d W 1 u c z E u e 0 N v b H V t b j M s M n 0 m c X V v d D s s J n F 1 b 3 Q 7 U 2 V j d G l v b j E v U G F n Z T A w M S A o M T E p L 0 F 1 d G 9 S Z W 1 v d m V k Q 2 9 s d W 1 u c z E u e 0 N v b H V t b j Q s M 3 0 m c X V v d D s s J n F 1 b 3 Q 7 U 2 V j d G l v b j E v U G F n Z T A w M S A o M T E p L 0 F 1 d G 9 S Z W 1 v d m V k Q 2 9 s d W 1 u c z E u e 0 N v b H V t b j U s N H 0 m c X V v d D s s J n F 1 b 3 Q 7 U 2 V j d G l v b j E v U G F n Z T A w M S A o M T E p L 0 F 1 d G 9 S Z W 1 v d m V k Q 2 9 s d W 1 u c z E u e 0 N v b H V t b j Y s N X 0 m c X V v d D s s J n F 1 b 3 Q 7 U 2 V j d G l v b j E v U G F n Z T A w M S A o M T E p L 0 F 1 d G 9 S Z W 1 v d m V k Q 2 9 s d W 1 u c z E u e 0 N v b H V t b j c s N n 0 m c X V v d D s s J n F 1 b 3 Q 7 U 2 V j d G l v b j E v U G F n Z T A w M S A o M T E p L 0 F 1 d G 9 S Z W 1 v d m V k Q 2 9 s d W 1 u c z E u e 0 N v b H V t b j g s N 3 0 m c X V v d D s s J n F 1 b 3 Q 7 U 2 V j d G l v b j E v U G F n Z T A w M S A o M T E p L 0 F 1 d G 9 S Z W 1 v d m V k Q 2 9 s d W 1 u c z E u e 0 N v b H V t b j k s O H 0 m c X V v d D s s J n F 1 b 3 Q 7 U 2 V j d G l v b j E v U G F n Z T A w M S A o M T E p L 0 F 1 d G 9 S Z W 1 v d m V k Q 2 9 s d W 1 u c z E u e 0 N v b H V t b j E w L D l 9 J n F 1 b 3 Q 7 L C Z x d W 9 0 O 1 N l Y 3 R p b 2 4 x L 1 B h Z 2 U w M D E g K D E x K S 9 B d X R v U m V t b 3 Z l Z E N v b H V t b n M x L n t D b 2 x 1 b W 4 x M S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1 B h Z 2 U w M D E g K D E x K S 9 B d X R v U m V t b 3 Z l Z E N v b H V t b n M x L n t D b 2 x 1 b W 4 x L D B 9 J n F 1 b 3 Q 7 L C Z x d W 9 0 O 1 N l Y 3 R p b 2 4 x L 1 B h Z 2 U w M D E g K D E x K S 9 B d X R v U m V t b 3 Z l Z E N v b H V t b n M x L n t D b 2 x 1 b W 4 y L D F 9 J n F 1 b 3 Q 7 L C Z x d W 9 0 O 1 N l Y 3 R p b 2 4 x L 1 B h Z 2 U w M D E g K D E x K S 9 B d X R v U m V t b 3 Z l Z E N v b H V t b n M x L n t D b 2 x 1 b W 4 z L D J 9 J n F 1 b 3 Q 7 L C Z x d W 9 0 O 1 N l Y 3 R p b 2 4 x L 1 B h Z 2 U w M D E g K D E x K S 9 B d X R v U m V t b 3 Z l Z E N v b H V t b n M x L n t D b 2 x 1 b W 4 0 L D N 9 J n F 1 b 3 Q 7 L C Z x d W 9 0 O 1 N l Y 3 R p b 2 4 x L 1 B h Z 2 U w M D E g K D E x K S 9 B d X R v U m V t b 3 Z l Z E N v b H V t b n M x L n t D b 2 x 1 b W 4 1 L D R 9 J n F 1 b 3 Q 7 L C Z x d W 9 0 O 1 N l Y 3 R p b 2 4 x L 1 B h Z 2 U w M D E g K D E x K S 9 B d X R v U m V t b 3 Z l Z E N v b H V t b n M x L n t D b 2 x 1 b W 4 2 L D V 9 J n F 1 b 3 Q 7 L C Z x d W 9 0 O 1 N l Y 3 R p b 2 4 x L 1 B h Z 2 U w M D E g K D E x K S 9 B d X R v U m V t b 3 Z l Z E N v b H V t b n M x L n t D b 2 x 1 b W 4 3 L D Z 9 J n F 1 b 3 Q 7 L C Z x d W 9 0 O 1 N l Y 3 R p b 2 4 x L 1 B h Z 2 U w M D E g K D E x K S 9 B d X R v U m V t b 3 Z l Z E N v b H V t b n M x L n t D b 2 x 1 b W 4 4 L D d 9 J n F 1 b 3 Q 7 L C Z x d W 9 0 O 1 N l Y 3 R p b 2 4 x L 1 B h Z 2 U w M D E g K D E x K S 9 B d X R v U m V t b 3 Z l Z E N v b H V t b n M x L n t D b 2 x 1 b W 4 5 L D h 9 J n F 1 b 3 Q 7 L C Z x d W 9 0 O 1 N l Y 3 R p b 2 4 x L 1 B h Z 2 U w M D E g K D E x K S 9 B d X R v U m V t b 3 Z l Z E N v b H V t b n M x L n t D b 2 x 1 b W 4 x M C w 5 f S Z x d W 9 0 O y w m c X V v d D t T Z W N 0 a W 9 u M S 9 Q Y W d l M D A x I C g x M S k v Q X V 0 b 1 J l b W 9 2 Z W R D b 2 x 1 b W 5 z M S 5 7 Q 2 9 s d W 1 u M T E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Y W d l M D A x J T I w K D E x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A x J T I w K D E x K S 9 Q Y W d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D E l M j A o M T E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w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x L T E 5 V D E z O j I 5 O j U x L j Q 2 N T U 5 N z l a I i A v P j x F b n R y e S B U e X B l P S J G a W x s Q 2 9 s d W 1 u V H l w Z X M i I F Z h b H V l P S J z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Y W d l M D A y L 0 F 1 d G 9 S Z W 1 v d m V k Q 2 9 s d W 1 u c z E u e 0 N v b H V t b j E s M H 0 m c X V v d D s s J n F 1 b 3 Q 7 U 2 V j d G l v b j E v U G F n Z T A w M i 9 B d X R v U m V t b 3 Z l Z E N v b H V t b n M x L n t D b 2 x 1 b W 4 y L D F 9 J n F 1 b 3 Q 7 L C Z x d W 9 0 O 1 N l Y 3 R p b 2 4 x L 1 B h Z 2 U w M D I v Q X V 0 b 1 J l b W 9 2 Z W R D b 2 x 1 b W 5 z M S 5 7 Q 2 9 s d W 1 u M y w y f S Z x d W 9 0 O y w m c X V v d D t T Z W N 0 a W 9 u M S 9 Q Y W d l M D A y L 0 F 1 d G 9 S Z W 1 v d m V k Q 2 9 s d W 1 u c z E u e 0 N v b H V t b j Q s M 3 0 m c X V v d D s s J n F 1 b 3 Q 7 U 2 V j d G l v b j E v U G F n Z T A w M i 9 B d X R v U m V t b 3 Z l Z E N v b H V t b n M x L n t D b 2 x 1 b W 4 1 L D R 9 J n F 1 b 3 Q 7 L C Z x d W 9 0 O 1 N l Y 3 R p b 2 4 x L 1 B h Z 2 U w M D I v Q X V 0 b 1 J l b W 9 2 Z W R D b 2 x 1 b W 5 z M S 5 7 Q 2 9 s d W 1 u N i w 1 f S Z x d W 9 0 O y w m c X V v d D t T Z W N 0 a W 9 u M S 9 Q Y W d l M D A y L 0 F 1 d G 9 S Z W 1 v d m V k Q 2 9 s d W 1 u c z E u e 0 N v b H V t b j c s N n 0 m c X V v d D s s J n F 1 b 3 Q 7 U 2 V j d G l v b j E v U G F n Z T A w M i 9 B d X R v U m V t b 3 Z l Z E N v b H V t b n M x L n t D b 2 x 1 b W 4 4 L D d 9 J n F 1 b 3 Q 7 L C Z x d W 9 0 O 1 N l Y 3 R p b 2 4 x L 1 B h Z 2 U w M D I v Q X V 0 b 1 J l b W 9 2 Z W R D b 2 x 1 b W 5 z M S 5 7 Q 2 9 s d W 1 u O S w 4 f S Z x d W 9 0 O y w m c X V v d D t T Z W N 0 a W 9 u M S 9 Q Y W d l M D A y L 0 F 1 d G 9 S Z W 1 v d m V k Q 2 9 s d W 1 u c z E u e 0 N v b H V t b j E w L D l 9 J n F 1 b 3 Q 7 L C Z x d W 9 0 O 1 N l Y 3 R p b 2 4 x L 1 B h Z 2 U w M D I v Q X V 0 b 1 J l b W 9 2 Z W R D b 2 x 1 b W 5 z M S 5 7 Q 2 9 s d W 1 u M T E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Q Y W d l M D A y L 0 F 1 d G 9 S Z W 1 v d m V k Q 2 9 s d W 1 u c z E u e 0 N v b H V t b j E s M H 0 m c X V v d D s s J n F 1 b 3 Q 7 U 2 V j d G l v b j E v U G F n Z T A w M i 9 B d X R v U m V t b 3 Z l Z E N v b H V t b n M x L n t D b 2 x 1 b W 4 y L D F 9 J n F 1 b 3 Q 7 L C Z x d W 9 0 O 1 N l Y 3 R p b 2 4 x L 1 B h Z 2 U w M D I v Q X V 0 b 1 J l b W 9 2 Z W R D b 2 x 1 b W 5 z M S 5 7 Q 2 9 s d W 1 u M y w y f S Z x d W 9 0 O y w m c X V v d D t T Z W N 0 a W 9 u M S 9 Q Y W d l M D A y L 0 F 1 d G 9 S Z W 1 v d m V k Q 2 9 s d W 1 u c z E u e 0 N v b H V t b j Q s M 3 0 m c X V v d D s s J n F 1 b 3 Q 7 U 2 V j d G l v b j E v U G F n Z T A w M i 9 B d X R v U m V t b 3 Z l Z E N v b H V t b n M x L n t D b 2 x 1 b W 4 1 L D R 9 J n F 1 b 3 Q 7 L C Z x d W 9 0 O 1 N l Y 3 R p b 2 4 x L 1 B h Z 2 U w M D I v Q X V 0 b 1 J l b W 9 2 Z W R D b 2 x 1 b W 5 z M S 5 7 Q 2 9 s d W 1 u N i w 1 f S Z x d W 9 0 O y w m c X V v d D t T Z W N 0 a W 9 u M S 9 Q Y W d l M D A y L 0 F 1 d G 9 S Z W 1 v d m V k Q 2 9 s d W 1 u c z E u e 0 N v b H V t b j c s N n 0 m c X V v d D s s J n F 1 b 3 Q 7 U 2 V j d G l v b j E v U G F n Z T A w M i 9 B d X R v U m V t b 3 Z l Z E N v b H V t b n M x L n t D b 2 x 1 b W 4 4 L D d 9 J n F 1 b 3 Q 7 L C Z x d W 9 0 O 1 N l Y 3 R p b 2 4 x L 1 B h Z 2 U w M D I v Q X V 0 b 1 J l b W 9 2 Z W R D b 2 x 1 b W 5 z M S 5 7 Q 2 9 s d W 1 u O S w 4 f S Z x d W 9 0 O y w m c X V v d D t T Z W N 0 a W 9 u M S 9 Q Y W d l M D A y L 0 F 1 d G 9 S Z W 1 v d m V k Q 2 9 s d W 1 u c z E u e 0 N v b H V t b j E w L D l 9 J n F 1 b 3 Q 7 L C Z x d W 9 0 O 1 N l Y 3 R p b 2 4 x L 1 B h Z 2 U w M D I v Q X V 0 b 1 J l b W 9 2 Z W R D b 2 x 1 b W 5 z M S 5 7 Q 2 9 s d W 1 u M T E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Y W d l M D A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D I v U G F n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A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w M S U y M C g x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S 0 x O V Q x M z o 1 N D o w M S 4 w N j Y y O D E 0 W i I g L z 4 8 R W 5 0 c n k g V H l w Z T 0 i R m l s b E N v b H V t b l R 5 c G V z I i B W Y W x 1 Z T 0 i c 0 F 3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F n Z T A w M S A o M T I p L 0 F 1 d G 9 S Z W 1 v d m V k Q 2 9 s d W 1 u c z E u e 0 N v b H V t b j E s M H 0 m c X V v d D s s J n F 1 b 3 Q 7 U 2 V j d G l v b j E v U G F n Z T A w M S A o M T I p L 0 F 1 d G 9 S Z W 1 v d m V k Q 2 9 s d W 1 u c z E u e 0 N v b H V t b j I s M X 0 m c X V v d D s s J n F 1 b 3 Q 7 U 2 V j d G l v b j E v U G F n Z T A w M S A o M T I p L 0 F 1 d G 9 S Z W 1 v d m V k Q 2 9 s d W 1 u c z E u e 0 N v b H V t b j M s M n 0 m c X V v d D s s J n F 1 b 3 Q 7 U 2 V j d G l v b j E v U G F n Z T A w M S A o M T I p L 0 F 1 d G 9 S Z W 1 v d m V k Q 2 9 s d W 1 u c z E u e 0 N v b H V t b j Q s M 3 0 m c X V v d D s s J n F 1 b 3 Q 7 U 2 V j d G l v b j E v U G F n Z T A w M S A o M T I p L 0 F 1 d G 9 S Z W 1 v d m V k Q 2 9 s d W 1 u c z E u e 0 N v b H V t b j U s N H 0 m c X V v d D s s J n F 1 b 3 Q 7 U 2 V j d G l v b j E v U G F n Z T A w M S A o M T I p L 0 F 1 d G 9 S Z W 1 v d m V k Q 2 9 s d W 1 u c z E u e 0 N v b H V t b j Y s N X 0 m c X V v d D s s J n F 1 b 3 Q 7 U 2 V j d G l v b j E v U G F n Z T A w M S A o M T I p L 0 F 1 d G 9 S Z W 1 v d m V k Q 2 9 s d W 1 u c z E u e 0 N v b H V t b j c s N n 0 m c X V v d D s s J n F 1 b 3 Q 7 U 2 V j d G l v b j E v U G F n Z T A w M S A o M T I p L 0 F 1 d G 9 S Z W 1 v d m V k Q 2 9 s d W 1 u c z E u e 0 N v b H V t b j g s N 3 0 m c X V v d D s s J n F 1 b 3 Q 7 U 2 V j d G l v b j E v U G F n Z T A w M S A o M T I p L 0 F 1 d G 9 S Z W 1 v d m V k Q 2 9 s d W 1 u c z E u e 0 N v b H V t b j k s O H 0 m c X V v d D s s J n F 1 b 3 Q 7 U 2 V j d G l v b j E v U G F n Z T A w M S A o M T I p L 0 F 1 d G 9 S Z W 1 v d m V k Q 2 9 s d W 1 u c z E u e 0 N v b H V t b j E w L D l 9 J n F 1 b 3 Q 7 L C Z x d W 9 0 O 1 N l Y 3 R p b 2 4 x L 1 B h Z 2 U w M D E g K D E y K S 9 B d X R v U m V t b 3 Z l Z E N v b H V t b n M x L n t D b 2 x 1 b W 4 x M S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1 B h Z 2 U w M D E g K D E y K S 9 B d X R v U m V t b 3 Z l Z E N v b H V t b n M x L n t D b 2 x 1 b W 4 x L D B 9 J n F 1 b 3 Q 7 L C Z x d W 9 0 O 1 N l Y 3 R p b 2 4 x L 1 B h Z 2 U w M D E g K D E y K S 9 B d X R v U m V t b 3 Z l Z E N v b H V t b n M x L n t D b 2 x 1 b W 4 y L D F 9 J n F 1 b 3 Q 7 L C Z x d W 9 0 O 1 N l Y 3 R p b 2 4 x L 1 B h Z 2 U w M D E g K D E y K S 9 B d X R v U m V t b 3 Z l Z E N v b H V t b n M x L n t D b 2 x 1 b W 4 z L D J 9 J n F 1 b 3 Q 7 L C Z x d W 9 0 O 1 N l Y 3 R p b 2 4 x L 1 B h Z 2 U w M D E g K D E y K S 9 B d X R v U m V t b 3 Z l Z E N v b H V t b n M x L n t D b 2 x 1 b W 4 0 L D N 9 J n F 1 b 3 Q 7 L C Z x d W 9 0 O 1 N l Y 3 R p b 2 4 x L 1 B h Z 2 U w M D E g K D E y K S 9 B d X R v U m V t b 3 Z l Z E N v b H V t b n M x L n t D b 2 x 1 b W 4 1 L D R 9 J n F 1 b 3 Q 7 L C Z x d W 9 0 O 1 N l Y 3 R p b 2 4 x L 1 B h Z 2 U w M D E g K D E y K S 9 B d X R v U m V t b 3 Z l Z E N v b H V t b n M x L n t D b 2 x 1 b W 4 2 L D V 9 J n F 1 b 3 Q 7 L C Z x d W 9 0 O 1 N l Y 3 R p b 2 4 x L 1 B h Z 2 U w M D E g K D E y K S 9 B d X R v U m V t b 3 Z l Z E N v b H V t b n M x L n t D b 2 x 1 b W 4 3 L D Z 9 J n F 1 b 3 Q 7 L C Z x d W 9 0 O 1 N l Y 3 R p b 2 4 x L 1 B h Z 2 U w M D E g K D E y K S 9 B d X R v U m V t b 3 Z l Z E N v b H V t b n M x L n t D b 2 x 1 b W 4 4 L D d 9 J n F 1 b 3 Q 7 L C Z x d W 9 0 O 1 N l Y 3 R p b 2 4 x L 1 B h Z 2 U w M D E g K D E y K S 9 B d X R v U m V t b 3 Z l Z E N v b H V t b n M x L n t D b 2 x 1 b W 4 5 L D h 9 J n F 1 b 3 Q 7 L C Z x d W 9 0 O 1 N l Y 3 R p b 2 4 x L 1 B h Z 2 U w M D E g K D E y K S 9 B d X R v U m V t b 3 Z l Z E N v b H V t b n M x L n t D b 2 x 1 b W 4 x M C w 5 f S Z x d W 9 0 O y w m c X V v d D t T Z W N 0 a W 9 u M S 9 Q Y W d l M D A x I C g x M i k v Q X V 0 b 1 J l b W 9 2 Z W R D b 2 x 1 b W 5 z M S 5 7 Q 2 9 s d W 1 u M T E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Y W d l M D A x J T I w K D E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A x J T I w K D E y K S 9 Q Y W d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D E l M j A o M T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w M S U y M C g x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S 0 x O V Q x M z o 1 N j o z M y 4 0 O D A 1 N T I 5 W i I g L z 4 8 R W 5 0 c n k g V H l w Z T 0 i R m l s b E N v b H V t b l R 5 c G V z I i B W Y W x 1 Z T 0 i c 0 F 3 W U d C Z 1 l H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h Z 2 U w M D E g K D E z K S 9 B d X R v U m V t b 3 Z l Z E N v b H V t b n M x L n t D b 2 x 1 b W 4 x L D B 9 J n F 1 b 3 Q 7 L C Z x d W 9 0 O 1 N l Y 3 R p b 2 4 x L 1 B h Z 2 U w M D E g K D E z K S 9 B d X R v U m V t b 3 Z l Z E N v b H V t b n M x L n t D b 2 x 1 b W 4 y L D F 9 J n F 1 b 3 Q 7 L C Z x d W 9 0 O 1 N l Y 3 R p b 2 4 x L 1 B h Z 2 U w M D E g K D E z K S 9 B d X R v U m V t b 3 Z l Z E N v b H V t b n M x L n t D b 2 x 1 b W 4 z L D J 9 J n F 1 b 3 Q 7 L C Z x d W 9 0 O 1 N l Y 3 R p b 2 4 x L 1 B h Z 2 U w M D E g K D E z K S 9 B d X R v U m V t b 3 Z l Z E N v b H V t b n M x L n t D b 2 x 1 b W 4 0 L D N 9 J n F 1 b 3 Q 7 L C Z x d W 9 0 O 1 N l Y 3 R p b 2 4 x L 1 B h Z 2 U w M D E g K D E z K S 9 B d X R v U m V t b 3 Z l Z E N v b H V t b n M x L n t D b 2 x 1 b W 4 1 L D R 9 J n F 1 b 3 Q 7 L C Z x d W 9 0 O 1 N l Y 3 R p b 2 4 x L 1 B h Z 2 U w M D E g K D E z K S 9 B d X R v U m V t b 3 Z l Z E N v b H V t b n M x L n t D b 2 x 1 b W 4 2 L D V 9 J n F 1 b 3 Q 7 L C Z x d W 9 0 O 1 N l Y 3 R p b 2 4 x L 1 B h Z 2 U w M D E g K D E z K S 9 B d X R v U m V t b 3 Z l Z E N v b H V t b n M x L n t D b 2 x 1 b W 4 3 L D Z 9 J n F 1 b 3 Q 7 L C Z x d W 9 0 O 1 N l Y 3 R p b 2 4 x L 1 B h Z 2 U w M D E g K D E z K S 9 B d X R v U m V t b 3 Z l Z E N v b H V t b n M x L n t D b 2 x 1 b W 4 4 L D d 9 J n F 1 b 3 Q 7 L C Z x d W 9 0 O 1 N l Y 3 R p b 2 4 x L 1 B h Z 2 U w M D E g K D E z K S 9 B d X R v U m V t b 3 Z l Z E N v b H V t b n M x L n t D b 2 x 1 b W 4 5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B h Z 2 U w M D E g K D E z K S 9 B d X R v U m V t b 3 Z l Z E N v b H V t b n M x L n t D b 2 x 1 b W 4 x L D B 9 J n F 1 b 3 Q 7 L C Z x d W 9 0 O 1 N l Y 3 R p b 2 4 x L 1 B h Z 2 U w M D E g K D E z K S 9 B d X R v U m V t b 3 Z l Z E N v b H V t b n M x L n t D b 2 x 1 b W 4 y L D F 9 J n F 1 b 3 Q 7 L C Z x d W 9 0 O 1 N l Y 3 R p b 2 4 x L 1 B h Z 2 U w M D E g K D E z K S 9 B d X R v U m V t b 3 Z l Z E N v b H V t b n M x L n t D b 2 x 1 b W 4 z L D J 9 J n F 1 b 3 Q 7 L C Z x d W 9 0 O 1 N l Y 3 R p b 2 4 x L 1 B h Z 2 U w M D E g K D E z K S 9 B d X R v U m V t b 3 Z l Z E N v b H V t b n M x L n t D b 2 x 1 b W 4 0 L D N 9 J n F 1 b 3 Q 7 L C Z x d W 9 0 O 1 N l Y 3 R p b 2 4 x L 1 B h Z 2 U w M D E g K D E z K S 9 B d X R v U m V t b 3 Z l Z E N v b H V t b n M x L n t D b 2 x 1 b W 4 1 L D R 9 J n F 1 b 3 Q 7 L C Z x d W 9 0 O 1 N l Y 3 R p b 2 4 x L 1 B h Z 2 U w M D E g K D E z K S 9 B d X R v U m V t b 3 Z l Z E N v b H V t b n M x L n t D b 2 x 1 b W 4 2 L D V 9 J n F 1 b 3 Q 7 L C Z x d W 9 0 O 1 N l Y 3 R p b 2 4 x L 1 B h Z 2 U w M D E g K D E z K S 9 B d X R v U m V t b 3 Z l Z E N v b H V t b n M x L n t D b 2 x 1 b W 4 3 L D Z 9 J n F 1 b 3 Q 7 L C Z x d W 9 0 O 1 N l Y 3 R p b 2 4 x L 1 B h Z 2 U w M D E g K D E z K S 9 B d X R v U m V t b 3 Z l Z E N v b H V t b n M x L n t D b 2 x 1 b W 4 4 L D d 9 J n F 1 b 3 Q 7 L C Z x d W 9 0 O 1 N l Y 3 R p b 2 4 x L 1 B h Z 2 U w M D E g K D E z K S 9 B d X R v U m V t b 3 Z l Z E N v b H V t b n M x L n t D b 2 x 1 b W 4 5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Y W d l M D A x J T I w K D E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A x J T I w K D E z K S 9 Q Y W d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D E l M j A o M T M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K L 6 r H v U w 0 V F g 5 S O z c 3 k 6 n 4 A A A A A A g A A A A A A E G Y A A A A B A A A g A A A A z N q d 0 W i u a / l E u J f v s q G Z i 5 o U P E f h n l j 1 i g q 1 r 4 3 n b e I A A A A A D o A A A A A C A A A g A A A A F p m 3 Y b X q T W 3 a X n e h W k N W H 8 b Q a X g L H d U r u / B e r e y X A V Z Q A A A A o p p F x D + k L D p T I V A 8 k 6 X r 2 y 6 1 5 t K + G t A e u 0 k O 2 2 s K I r 2 6 C e k / B s r Z 2 E 1 u V x d 5 n 8 Q Z q E Z y B p 9 d 4 u A A L W U O P P Q u l e 9 N y 8 W U 6 G P J S n N L Q F J C i l Z A A A A A k z e 6 v W w r x s y / P r G n d I R y 6 z 1 R Z 2 e W 9 T C D l U k Q X J I t d I F X D 0 4 B 8 r U V U 9 c i u l V R q 8 c i 0 B X v P F Y L q c R L v J f L N c P + f w = = < / D a t a M a s h u p > 
</file>

<file path=customXml/itemProps1.xml><?xml version="1.0" encoding="utf-8"?>
<ds:datastoreItem xmlns:ds="http://schemas.openxmlformats.org/officeDocument/2006/customXml" ds:itemID="{1C599325-841F-471A-B048-F4EE8BA6E30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P&amp;L-SOFP-Ratios</vt:lpstr>
      <vt:lpstr>P&amp;L Working</vt:lpstr>
      <vt:lpstr>SOFP working</vt:lpstr>
      <vt:lpstr>CashFlow</vt:lpstr>
      <vt:lpstr>Changes in Equity</vt:lpstr>
      <vt:lpstr>18ppe</vt:lpstr>
      <vt:lpstr>19ppe</vt:lpstr>
      <vt:lpstr>22ppe</vt:lpstr>
      <vt:lpstr>PPE</vt:lpstr>
      <vt:lpstr>Commonsize Analysis</vt:lpstr>
      <vt:lpstr>Dupont Analysis</vt:lpstr>
      <vt:lpstr>FCFF</vt:lpstr>
      <vt:lpstr>DDM</vt:lpstr>
      <vt:lpstr>Relative market valuation</vt:lpstr>
      <vt:lpstr>Business descriptions Workings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2022-12-09T12:01:40Z</dcterms:modified>
</cp:coreProperties>
</file>