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ok\Level 3 Sem 2\Econometrics\assignment new\"/>
    </mc:Choice>
  </mc:AlternateContent>
  <bookViews>
    <workbookView xWindow="0" yWindow="0" windowWidth="22416" windowHeight="9168"/>
  </bookViews>
  <sheets>
    <sheet name="Output" sheetId="1" r:id="rId1"/>
    <sheet name="DE RATIO" sheetId="15" r:id="rId2"/>
    <sheet name="DA RATIO" sheetId="18" r:id="rId3"/>
    <sheet name="IC" sheetId="13" r:id="rId4"/>
    <sheet name="GR" sheetId="19" r:id="rId5"/>
    <sheet name="GRP" sheetId="20" r:id="rId6"/>
  </sheets>
  <definedNames>
    <definedName name="ExternalData_1" localSheetId="2" hidden="1">'DA RATIO'!$A$1:$D$107</definedName>
    <definedName name="ExternalData_2" localSheetId="1" hidden="1">'DE RATIO'!$A$1:$D$51</definedName>
    <definedName name="ExternalData_2" localSheetId="5" hidden="1">GRP!$A$1:$D$51</definedName>
    <definedName name="ExternalData_3" localSheetId="4" hidden="1">GR!$A$1:$H$26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B43" i="1"/>
  <c r="B45" i="1"/>
  <c r="B46" i="1"/>
  <c r="B47" i="1"/>
  <c r="B48" i="1"/>
  <c r="B49" i="1"/>
  <c r="B50" i="1"/>
  <c r="B51" i="1"/>
  <c r="B42" i="1"/>
  <c r="B33" i="1"/>
  <c r="B34" i="1"/>
  <c r="B35" i="1"/>
  <c r="B36" i="1"/>
  <c r="B37" i="1"/>
  <c r="B38" i="1"/>
  <c r="B39" i="1"/>
  <c r="B40" i="1"/>
  <c r="B41" i="1"/>
  <c r="B32" i="1"/>
  <c r="B23" i="1"/>
  <c r="B24" i="1"/>
  <c r="B25" i="1"/>
  <c r="B26" i="1"/>
  <c r="B27" i="1"/>
  <c r="B28" i="1"/>
  <c r="B29" i="1"/>
  <c r="B30" i="1"/>
  <c r="B31" i="1"/>
  <c r="B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P24" i="13"/>
  <c r="N24" i="13"/>
  <c r="M24" i="13"/>
  <c r="K24" i="13"/>
  <c r="J24" i="13"/>
  <c r="H24" i="13"/>
  <c r="E24" i="13"/>
  <c r="G24" i="13" s="1"/>
  <c r="D24" i="13"/>
  <c r="B24" i="13"/>
  <c r="P23" i="13"/>
  <c r="N23" i="13"/>
  <c r="M23" i="13"/>
  <c r="K23" i="13"/>
  <c r="H23" i="13"/>
  <c r="J23" i="13" s="1"/>
  <c r="G23" i="13"/>
  <c r="E23" i="13"/>
  <c r="D23" i="13"/>
  <c r="B23" i="13"/>
  <c r="P22" i="13"/>
  <c r="N22" i="13"/>
  <c r="K22" i="13"/>
  <c r="M22" i="13" s="1"/>
  <c r="J22" i="13"/>
  <c r="H22" i="13"/>
  <c r="G22" i="13"/>
  <c r="E22" i="13"/>
  <c r="D22" i="13"/>
  <c r="B22" i="13"/>
  <c r="N21" i="13"/>
  <c r="P21" i="13" s="1"/>
  <c r="M21" i="13"/>
  <c r="K21" i="13"/>
  <c r="J21" i="13"/>
  <c r="H21" i="13"/>
  <c r="G21" i="13"/>
  <c r="E21" i="13"/>
  <c r="B21" i="13"/>
  <c r="D21" i="13" s="1"/>
  <c r="P20" i="13"/>
  <c r="N20" i="13"/>
  <c r="M20" i="13"/>
  <c r="K20" i="13"/>
  <c r="J20" i="13"/>
  <c r="H20" i="13"/>
  <c r="E20" i="13"/>
  <c r="G20" i="13" s="1"/>
  <c r="D20" i="13"/>
  <c r="C20" i="13"/>
  <c r="B20" i="13"/>
  <c r="N14" i="13" l="1"/>
  <c r="P14" i="13" s="1"/>
  <c r="K14" i="13"/>
  <c r="M14" i="13" s="1"/>
  <c r="H14" i="13"/>
  <c r="J14" i="13" s="1"/>
  <c r="E14" i="13"/>
  <c r="G14" i="13" s="1"/>
  <c r="B14" i="13"/>
  <c r="D14" i="13" s="1"/>
  <c r="N13" i="13"/>
  <c r="P13" i="13" s="1"/>
  <c r="K13" i="13"/>
  <c r="M13" i="13" s="1"/>
  <c r="H13" i="13"/>
  <c r="J13" i="13" s="1"/>
  <c r="E13" i="13"/>
  <c r="G13" i="13" s="1"/>
  <c r="B13" i="13"/>
  <c r="D13" i="13" s="1"/>
  <c r="N12" i="13"/>
  <c r="P12" i="13" s="1"/>
  <c r="K12" i="13"/>
  <c r="M12" i="13" s="1"/>
  <c r="H12" i="13"/>
  <c r="J12" i="13" s="1"/>
  <c r="F12" i="13"/>
  <c r="E12" i="13"/>
  <c r="C12" i="13"/>
  <c r="B12" i="13"/>
  <c r="O11" i="13"/>
  <c r="N11" i="13"/>
  <c r="K11" i="13"/>
  <c r="M11" i="13" s="1"/>
  <c r="H11" i="13"/>
  <c r="J11" i="13" s="1"/>
  <c r="E11" i="13"/>
  <c r="G11" i="13" s="1"/>
  <c r="B11" i="13"/>
  <c r="D11" i="13" s="1"/>
  <c r="O10" i="13"/>
  <c r="N10" i="13"/>
  <c r="L10" i="13"/>
  <c r="K10" i="13"/>
  <c r="I10" i="13"/>
  <c r="H10" i="13"/>
  <c r="F10" i="13"/>
  <c r="E10" i="13"/>
  <c r="C10" i="13"/>
  <c r="B10" i="13"/>
  <c r="J10" i="13" l="1"/>
  <c r="G10" i="13"/>
  <c r="D10" i="13"/>
  <c r="M10" i="13"/>
  <c r="P11" i="13"/>
  <c r="D12" i="13"/>
  <c r="G12" i="13"/>
  <c r="P10" i="13"/>
</calcChain>
</file>

<file path=xl/connections.xml><?xml version="1.0" encoding="utf-8"?>
<connections xmlns="http://schemas.openxmlformats.org/spreadsheetml/2006/main">
  <connection id="1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2" keepAlive="1" name="Query - Output (2)" description="Connection to the 'Output (2)' query in the workbook." type="5" refreshedVersion="0" background="1">
    <dbPr connection="Provider=Microsoft.Mashup.OleDb.1;Data Source=$Workbook$;Location=&quot;Output (2)&quot;;Extended Properties=&quot;&quot;" command="SELECT * FROM [Output (2)]"/>
  </connection>
  <connection id="3" keepAlive="1" name="Query - Output (3)" description="Connection to the 'Output (3)' query in the workbook." type="5" refreshedVersion="0" background="1">
    <dbPr connection="Provider=Microsoft.Mashup.OleDb.1;Data Source=$Workbook$;Location=&quot;Output (3)&quot;;Extended Properties=&quot;&quot;" command="SELECT * FROM [Output (3)]"/>
  </connection>
  <connection id="4" keepAlive="1" name="Query - Output (4)" description="Connection to the 'Output (4)' query in the workbook." type="5" refreshedVersion="0" background="1">
    <dbPr connection="Provider=Microsoft.Mashup.OleDb.1;Data Source=$Workbook$;Location=&quot;Output (4)&quot;;Extended Properties=&quot;&quot;" command="SELECT * FROM [Output (4)]"/>
  </connection>
  <connection id="5" keepAlive="1" name="Query - Output (5)" description="Connection to the 'Output (5)' query in the workbook." type="5" refreshedVersion="0" background="1">
    <dbPr connection="Provider=Microsoft.Mashup.OleDb.1;Data Source=$Workbook$;Location=&quot;Output (5)&quot;;Extended Properties=&quot;&quot;" command="SELECT * FROM [Output (5)]"/>
  </connection>
  <connection id="6" keepAlive="1" name="Query - Output (6)" description="Connection to the 'Output (6)' query in the workbook." type="5" refreshedVersion="8" background="1" saveData="1">
    <dbPr connection="Provider=Microsoft.Mashup.OleDb.1;Data Source=$Workbook$;Location=&quot;Output (6)&quot;;Extended Properties=&quot;&quot;" command="SELECT * FROM [Output (6)]"/>
  </connection>
  <connection id="7" keepAlive="1" name="Query - Output (7)" description="Connection to the 'Output (7)' query in the workbook." type="5" refreshedVersion="8" background="1" saveData="1">
    <dbPr connection="Provider=Microsoft.Mashup.OleDb.1;Data Source=$Workbook$;Location=&quot;Output (7)&quot;;Extended Properties=&quot;&quot;" command="SELECT * FROM [Output (7)]"/>
  </connection>
  <connection id="8" keepAlive="1" name="Query - Output (8)" description="Connection to the 'Output (8)' query in the workbook." type="5" refreshedVersion="8" background="1" saveData="1">
    <dbPr connection="Provider=Microsoft.Mashup.OleDb.1;Data Source=$Workbook$;Location=&quot;Output (8)&quot;;Extended Properties=&quot;&quot;" command="SELECT * FROM [Output (8)]"/>
  </connection>
  <connection id="9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10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11" keepAlive="1" name="Query - Sheet1 (3)" description="Connection to the 'Sheet1 (3)' query in the workbook." type="5" refreshedVersion="0" background="1">
    <dbPr connection="Provider=Microsoft.Mashup.OleDb.1;Data Source=$Workbook$;Location=&quot;Sheet1 (3)&quot;;Extended Properties=&quot;&quot;" command="SELECT * FROM [Sheet1 (3)]"/>
  </connection>
  <connection id="12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13" keepAlive="1" name="Query - Sheet1 (5)" description="Connection to the 'Sheet1 (5)' query in the workbook." type="5" refreshedVersion="8" background="1" saveData="1">
    <dbPr connection="Provider=Microsoft.Mashup.OleDb.1;Data Source=$Workbook$;Location=&quot;Sheet1 (5)&quot;;Extended Properties=&quot;&quot;" command="SELECT * FROM [Sheet1 (5)]"/>
  </connection>
  <connection id="14" keepAlive="1" name="Query - Sheet1 (6)" description="Connection to the 'Sheet1 (6)' query in the workbook." type="5" refreshedVersion="0" background="1">
    <dbPr connection="Provider=Microsoft.Mashup.OleDb.1;Data Source=$Workbook$;Location=&quot;Sheet1 (6)&quot;;Extended Properties=&quot;&quot;" command="SELECT * FROM [Sheet1 (6)]"/>
  </connection>
  <connection id="15" keepAlive="1" name="Query - Sheet1 (7)" description="Connection to the 'Sheet1 (7)' query in the workbook." type="5" refreshedVersion="8" background="1" saveData="1">
    <dbPr connection="Provider=Microsoft.Mashup.OleDb.1;Data Source=$Workbook$;Location=&quot;Sheet1 (7)&quot;;Extended Properties=&quot;&quot;" command="SELECT * FROM [Sheet1 (7)]"/>
  </connection>
  <connection id="16" keepAlive="1" name="Query - Sheet1 (8)" description="Connection to the 'Sheet1 (8)' query in the workbook." type="5" refreshedVersion="8" background="1" saveData="1">
    <dbPr connection="Provider=Microsoft.Mashup.OleDb.1;Data Source=$Workbook$;Location=&quot;Sheet1 (8)&quot;;Extended Properties=&quot;&quot;" command="SELECT * FROM [Sheet1 (8)]"/>
  </connection>
</connections>
</file>

<file path=xl/sharedStrings.xml><?xml version="1.0" encoding="utf-8"?>
<sst xmlns="http://schemas.openxmlformats.org/spreadsheetml/2006/main" count="305" uniqueCount="40">
  <si>
    <t>Year</t>
  </si>
  <si>
    <t>Firm ID</t>
  </si>
  <si>
    <t>Company ID</t>
  </si>
  <si>
    <t>Expolanka Holdings PLC</t>
  </si>
  <si>
    <t>LOLC Holdings PLC</t>
  </si>
  <si>
    <t>LOLC Finance PLC</t>
  </si>
  <si>
    <t>D/E</t>
  </si>
  <si>
    <t>D/A</t>
  </si>
  <si>
    <t>Interest coverage Ratio</t>
  </si>
  <si>
    <t>Gross Profit Ratio</t>
  </si>
  <si>
    <t>D/A Ratio</t>
  </si>
  <si>
    <t>D/E Ratio</t>
  </si>
  <si>
    <t>John Keells Holdings PLC</t>
  </si>
  <si>
    <t>LOLC Development Finance PLC</t>
  </si>
  <si>
    <t>GPR</t>
  </si>
  <si>
    <t>D/E RATIO</t>
  </si>
  <si>
    <t>D/A RATIO</t>
  </si>
  <si>
    <t>GROSS PROFIT RATIO</t>
  </si>
  <si>
    <t>Company</t>
  </si>
  <si>
    <t>2021/22</t>
  </si>
  <si>
    <t>2020/21</t>
  </si>
  <si>
    <t>2019/20</t>
  </si>
  <si>
    <t>2018/19</t>
  </si>
  <si>
    <t>2017/18</t>
  </si>
  <si>
    <t>EBIT</t>
  </si>
  <si>
    <t>Total fixed interest</t>
  </si>
  <si>
    <t>Interest coverge ratio</t>
  </si>
  <si>
    <t>JKH PLC</t>
  </si>
  <si>
    <t>INTEREST COVERAGE RATIO</t>
  </si>
  <si>
    <t xml:space="preserve">Gearing Ratio </t>
  </si>
  <si>
    <t>Gearing Ratio</t>
  </si>
  <si>
    <t>2016/17</t>
  </si>
  <si>
    <t>2015/16</t>
  </si>
  <si>
    <t>2014/15</t>
  </si>
  <si>
    <t>2013/14</t>
  </si>
  <si>
    <t>2012/13</t>
  </si>
  <si>
    <t>Firm ID_1</t>
  </si>
  <si>
    <t>Company ID_2</t>
  </si>
  <si>
    <t>Year_3</t>
  </si>
  <si>
    <t>Gearing Ratio_4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</si>
</sst>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3" xfId="0" applyBorder="1"/>
    <xf numFmtId="0" fontId="4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2" fontId="6" fillId="0" borderId="2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2" fontId="6" fillId="0" borderId="5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2" fontId="6" fillId="0" borderId="4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164" fontId="0" fillId="0" borderId="1" xfId="1" applyNumberFormat="1" applyFont="1" applyFill="1" applyBorder="1"/>
    <xf numFmtId="164" fontId="0" fillId="0" borderId="1" xfId="1" applyNumberFormat="1" applyFont="1" applyFill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wrapText="1"/>
    </xf>
    <xf numFmtId="2" fontId="0" fillId="8" borderId="1" xfId="0" applyNumberFormat="1" applyFill="1" applyBorder="1"/>
    <xf numFmtId="0" fontId="4" fillId="9" borderId="1" xfId="0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0" fillId="0" borderId="0" xfId="0" applyNumberFormat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1" xfId="0" applyNumberFormat="1" applyBorder="1"/>
    <xf numFmtId="0" fontId="0" fillId="0" borderId="12" xfId="0" applyBorder="1"/>
    <xf numFmtId="0" fontId="0" fillId="0" borderId="2" xfId="0" applyNumberFormat="1" applyBorder="1"/>
    <xf numFmtId="0" fontId="0" fillId="0" borderId="2" xfId="0" applyBorder="1"/>
    <xf numFmtId="2" fontId="0" fillId="0" borderId="7" xfId="0" applyNumberFormat="1" applyBorder="1"/>
    <xf numFmtId="2" fontId="0" fillId="0" borderId="13" xfId="0" applyNumberForma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64" fontId="0" fillId="0" borderId="2" xfId="1" applyNumberFormat="1" applyFont="1" applyFill="1" applyBorder="1"/>
    <xf numFmtId="2" fontId="0" fillId="0" borderId="2" xfId="0" applyNumberFormat="1" applyBorder="1"/>
    <xf numFmtId="3" fontId="0" fillId="0" borderId="0" xfId="0" applyNumberFormat="1"/>
    <xf numFmtId="2" fontId="0" fillId="8" borderId="2" xfId="0" applyNumberFormat="1" applyFill="1" applyBorder="1"/>
    <xf numFmtId="0" fontId="6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0" fillId="3" borderId="1" xfId="0" applyFill="1" applyBorder="1"/>
    <xf numFmtId="0" fontId="2" fillId="11" borderId="8" xfId="0" applyFont="1" applyFill="1" applyBorder="1"/>
    <xf numFmtId="0" fontId="2" fillId="11" borderId="3" xfId="0" applyFont="1" applyFill="1" applyBorder="1"/>
    <xf numFmtId="0" fontId="2" fillId="11" borderId="6" xfId="0" applyFont="1" applyFill="1" applyBorder="1"/>
    <xf numFmtId="0" fontId="2" fillId="6" borderId="8" xfId="0" applyFont="1" applyFill="1" applyBorder="1"/>
    <xf numFmtId="0" fontId="2" fillId="6" borderId="3" xfId="0" applyFont="1" applyFill="1" applyBorder="1"/>
    <xf numFmtId="0" fontId="2" fillId="6" borderId="6" xfId="0" applyFont="1" applyFill="1" applyBorder="1"/>
    <xf numFmtId="0" fontId="1" fillId="0" borderId="5" xfId="0" applyFont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5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5" fillId="10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30">
    <dxf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FF999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ill>
        <patternFill patternType="solid">
          <fgColor indexed="64"/>
          <bgColor theme="7" tint="0.39997558519241921"/>
        </patternFill>
      </fill>
    </dxf>
    <dxf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9999"/>
      <color rgb="FFFF2F2F"/>
      <color rgb="FFFE4848"/>
      <color rgb="FFFFFF3B"/>
      <color rgb="FFF48D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</xdr:colOff>
      <xdr:row>4</xdr:row>
      <xdr:rowOff>83820</xdr:rowOff>
    </xdr:from>
    <xdr:ext cx="4213860" cy="4875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09CE8F9-6B52-44BB-9132-25C0DEF216CD}"/>
                </a:ext>
              </a:extLst>
            </xdr:cNvPr>
            <xdr:cNvSpPr txBox="1"/>
          </xdr:nvSpPr>
          <xdr:spPr>
            <a:xfrm>
              <a:off x="5059680" y="815340"/>
              <a:ext cx="4213860" cy="487506"/>
            </a:xfrm>
            <a:prstGeom prst="rect">
              <a:avLst/>
            </a:prstGeom>
            <a:solidFill>
              <a:srgbClr val="F48D3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>
                  <a:latin typeface="+mn-lt"/>
                </a:rPr>
                <a:t>      D/E RATIO =</a:t>
              </a:r>
              <a14:m>
                <m:oMath xmlns:m="http://schemas.openxmlformats.org/officeDocument/2006/math">
                  <m:f>
                    <m:fPr>
                      <m:ctrlPr>
                        <a:rPr lang="en-US" sz="20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𝑇𝑜𝑡𝑎𝑙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𝐷𝑒𝑏𝑡</m:t>
                      </m:r>
                    </m:num>
                    <m:den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𝑇𝑜𝑡𝑎𝑙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𝑆h𝑎𝑟𝑒h𝑜𝑙𝑑𝑒𝑟</m:t>
                      </m:r>
                      <m:sSup>
                        <m:sSupPr>
                          <m:ctrlPr>
                            <a:rPr lang="en-US" sz="20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𝑠</m:t>
                          </m:r>
                        </m:e>
                        <m:sup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′</m:t>
                          </m:r>
                        </m:sup>
                      </m:sSup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𝐸𝑞𝑢𝑖𝑡𝑦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</m:den>
                  </m:f>
                </m:oMath>
              </a14:m>
              <a:endParaRPr lang="en-US" sz="2000">
                <a:latin typeface="+mn-lt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09CE8F9-6B52-44BB-9132-25C0DEF216CD}"/>
                </a:ext>
              </a:extLst>
            </xdr:cNvPr>
            <xdr:cNvSpPr txBox="1"/>
          </xdr:nvSpPr>
          <xdr:spPr>
            <a:xfrm>
              <a:off x="5059680" y="815340"/>
              <a:ext cx="4213860" cy="487506"/>
            </a:xfrm>
            <a:prstGeom prst="rect">
              <a:avLst/>
            </a:prstGeom>
            <a:solidFill>
              <a:srgbClr val="F48D3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>
                  <a:latin typeface="+mn-lt"/>
                </a:rPr>
                <a:t>      D/E RATIO =</a:t>
              </a:r>
              <a:r>
                <a:rPr lang="en-US" sz="2000" i="0">
                  <a:latin typeface="Cambria Math" panose="02040503050406030204" pitchFamily="18" charset="0"/>
                </a:rPr>
                <a:t>(</a:t>
              </a:r>
              <a:r>
                <a:rPr lang="en-US" sz="2000" b="0" i="0">
                  <a:latin typeface="Cambria Math" panose="02040503050406030204" pitchFamily="18" charset="0"/>
                </a:rPr>
                <a:t>𝑇𝑜𝑡𝑎𝑙 𝐷𝑒𝑏𝑡)/(𝑇𝑜𝑡𝑎𝑙 𝑆ℎ𝑎𝑟𝑒ℎ𝑜𝑙𝑑𝑒𝑟𝑠^′ 𝐸𝑞𝑢𝑖𝑡𝑦 )</a:t>
              </a:r>
              <a:endParaRPr lang="en-US" sz="2000">
                <a:latin typeface="+mn-lt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</xdr:row>
      <xdr:rowOff>0</xdr:rowOff>
    </xdr:from>
    <xdr:ext cx="3040380" cy="556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5F35370-F7B3-4E17-8139-8A8341AA7696}"/>
                </a:ext>
              </a:extLst>
            </xdr:cNvPr>
            <xdr:cNvSpPr txBox="1"/>
          </xdr:nvSpPr>
          <xdr:spPr>
            <a:xfrm>
              <a:off x="5166360" y="731520"/>
              <a:ext cx="3040380" cy="556260"/>
            </a:xfrm>
            <a:prstGeom prst="rect">
              <a:avLst/>
            </a:prstGeom>
            <a:solidFill>
              <a:srgbClr val="FFFF3B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2000">
                  <a:latin typeface="+mn-lt"/>
                </a:rPr>
                <a:t>    D/A RATIO =</a:t>
              </a:r>
              <a14:m>
                <m:oMath xmlns:m="http://schemas.openxmlformats.org/officeDocument/2006/math">
                  <m:f>
                    <m:fPr>
                      <m:ctrlPr>
                        <a:rPr lang="en-US" sz="20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𝑇𝑜𝑡𝑎𝑙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𝐷𝑒𝑏𝑡</m:t>
                      </m:r>
                    </m:num>
                    <m:den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𝑇𝑜𝑡𝑎𝑙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𝐴𝑠𝑠𝑒𝑡𝑠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</m:den>
                  </m:f>
                </m:oMath>
              </a14:m>
              <a:endParaRPr lang="en-US" sz="2000">
                <a:latin typeface="+mn-lt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5F35370-F7B3-4E17-8139-8A8341AA7696}"/>
                </a:ext>
              </a:extLst>
            </xdr:cNvPr>
            <xdr:cNvSpPr txBox="1"/>
          </xdr:nvSpPr>
          <xdr:spPr>
            <a:xfrm>
              <a:off x="5166360" y="731520"/>
              <a:ext cx="3040380" cy="556260"/>
            </a:xfrm>
            <a:prstGeom prst="rect">
              <a:avLst/>
            </a:prstGeom>
            <a:solidFill>
              <a:srgbClr val="FFFF3B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2000">
                  <a:latin typeface="+mn-lt"/>
                </a:rPr>
                <a:t>    D/A RATIO =</a:t>
              </a:r>
              <a:r>
                <a:rPr lang="en-US" sz="2000" i="0">
                  <a:latin typeface="Cambria Math" panose="02040503050406030204" pitchFamily="18" charset="0"/>
                </a:rPr>
                <a:t>(</a:t>
              </a:r>
              <a:r>
                <a:rPr lang="en-US" sz="2000" b="0" i="0">
                  <a:latin typeface="Cambria Math" panose="02040503050406030204" pitchFamily="18" charset="0"/>
                </a:rPr>
                <a:t>𝑇𝑜𝑡𝑎𝑙 𝐷𝑒𝑏𝑡)/(𝑇𝑜𝑡𝑎𝑙 𝐴𝑠𝑠𝑒𝑡𝑠 )</a:t>
              </a:r>
              <a:endParaRPr lang="en-US" sz="2000">
                <a:latin typeface="+mn-lt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</xdr:row>
      <xdr:rowOff>0</xdr:rowOff>
    </xdr:from>
    <xdr:ext cx="4465320" cy="4828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1957E4-236F-4F72-9378-490044769BB2}"/>
                </a:ext>
              </a:extLst>
            </xdr:cNvPr>
            <xdr:cNvSpPr txBox="1"/>
          </xdr:nvSpPr>
          <xdr:spPr>
            <a:xfrm>
              <a:off x="6309360" y="548640"/>
              <a:ext cx="4465320" cy="482889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>
                  <a:latin typeface="+mn-lt"/>
                </a:rPr>
                <a:t>         IC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20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𝑃𝑟𝑜𝑓𝑖𝑡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𝐵𝑒𝑓𝑜𝑟𝑒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𝐼𝑛𝑡𝑒𝑟𝑒𝑠𝑡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𝑎𝑛𝑑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𝑇𝑎𝑥</m:t>
                      </m:r>
                    </m:num>
                    <m:den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𝐹𝑖𝑥𝑒𝑑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𝐼𝑛𝑡𝑒𝑟𝑒𝑠𝑡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𝐶h𝑎𝑟𝑔𝑒𝑠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</m:den>
                  </m:f>
                </m:oMath>
              </a14:m>
              <a:endParaRPr lang="en-US" sz="2000" b="0">
                <a:latin typeface="+mn-lt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1957E4-236F-4F72-9378-490044769BB2}"/>
                </a:ext>
              </a:extLst>
            </xdr:cNvPr>
            <xdr:cNvSpPr txBox="1"/>
          </xdr:nvSpPr>
          <xdr:spPr>
            <a:xfrm>
              <a:off x="6309360" y="548640"/>
              <a:ext cx="4465320" cy="482889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>
                  <a:latin typeface="+mn-lt"/>
                </a:rPr>
                <a:t>         IC = </a:t>
              </a:r>
              <a:r>
                <a:rPr lang="en-US" sz="2000" i="0">
                  <a:latin typeface="+mn-lt"/>
                </a:rPr>
                <a:t>(</a:t>
              </a:r>
              <a:r>
                <a:rPr lang="en-US" sz="2000" b="0" i="0">
                  <a:latin typeface="Cambria Math" panose="02040503050406030204" pitchFamily="18" charset="0"/>
                </a:rPr>
                <a:t>𝑃𝑟𝑜𝑓𝑖𝑡 𝐵𝑒𝑓𝑜𝑟𝑒 𝐼𝑛𝑡𝑒𝑟𝑒𝑠𝑡 𝑎𝑛𝑑 𝑇𝑎𝑥</a:t>
              </a:r>
              <a:r>
                <a:rPr lang="en-US" sz="2000" b="0" i="0">
                  <a:latin typeface="+mn-lt"/>
                </a:rPr>
                <a:t>)/(</a:t>
              </a:r>
              <a:r>
                <a:rPr lang="en-US" sz="2000" b="0" i="0">
                  <a:latin typeface="Cambria Math" panose="02040503050406030204" pitchFamily="18" charset="0"/>
                </a:rPr>
                <a:t>𝐹𝑖𝑥𝑒𝑑 𝐼𝑛𝑡𝑒𝑟𝑒𝑠𝑡 𝐶ℎ𝑎𝑟𝑔𝑒𝑠</a:t>
              </a:r>
              <a:r>
                <a:rPr lang="en-US" sz="2000" b="0" i="0">
                  <a:latin typeface="+mn-lt"/>
                </a:rPr>
                <a:t> )</a:t>
              </a:r>
              <a:endParaRPr lang="en-US" sz="2000" b="0">
                <a:latin typeface="+mn-lt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4</xdr:row>
      <xdr:rowOff>0</xdr:rowOff>
    </xdr:from>
    <xdr:ext cx="3131820" cy="4478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9B79B99-17EB-41C3-A52F-4F12FC0D40F3}"/>
                </a:ext>
              </a:extLst>
            </xdr:cNvPr>
            <xdr:cNvSpPr txBox="1"/>
          </xdr:nvSpPr>
          <xdr:spPr>
            <a:xfrm>
              <a:off x="8923020" y="731520"/>
              <a:ext cx="3131820" cy="447815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>
                  <a:latin typeface="+mn-lt"/>
                </a:rPr>
                <a:t>      GR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20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𝑇𝑜𝑡𝑎𝑙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𝐵𝑜𝑟𝑟𝑜𝑤𝑖𝑛𝑔𝑠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</m:num>
                    <m:den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𝑁𝑒𝑡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𝐴𝑠𝑠𝑒𝑡𝑠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</m:den>
                  </m:f>
                </m:oMath>
              </a14:m>
              <a:endParaRPr lang="en-US" sz="2000" b="0">
                <a:latin typeface="+mn-lt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9B79B99-17EB-41C3-A52F-4F12FC0D40F3}"/>
                </a:ext>
              </a:extLst>
            </xdr:cNvPr>
            <xdr:cNvSpPr txBox="1"/>
          </xdr:nvSpPr>
          <xdr:spPr>
            <a:xfrm>
              <a:off x="8923020" y="731520"/>
              <a:ext cx="3131820" cy="447815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>
                  <a:latin typeface="+mn-lt"/>
                </a:rPr>
                <a:t>      GR = </a:t>
              </a:r>
              <a:r>
                <a:rPr lang="en-US" sz="2000" i="0">
                  <a:latin typeface="Cambria Math" panose="02040503050406030204" pitchFamily="18" charset="0"/>
                </a:rPr>
                <a:t>(</a:t>
              </a:r>
              <a:r>
                <a:rPr lang="en-US" sz="2000" b="0" i="0">
                  <a:latin typeface="Cambria Math" panose="02040503050406030204" pitchFamily="18" charset="0"/>
                </a:rPr>
                <a:t>𝑇𝑜𝑡𝑎𝑙 𝐵𝑜𝑟𝑟𝑜𝑤𝑖𝑛𝑔𝑠 )/(𝑁𝑒𝑡 𝐴𝑠𝑠𝑒𝑡𝑠 )</a:t>
              </a:r>
              <a:endParaRPr lang="en-US" sz="2000" b="0">
                <a:latin typeface="+mn-lt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</xdr:row>
      <xdr:rowOff>0</xdr:rowOff>
    </xdr:from>
    <xdr:ext cx="3131820" cy="448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00CC5F5-CB5F-4FC7-A760-41AED0FA37D8}"/>
                </a:ext>
              </a:extLst>
            </xdr:cNvPr>
            <xdr:cNvSpPr txBox="1"/>
          </xdr:nvSpPr>
          <xdr:spPr>
            <a:xfrm>
              <a:off x="5486400" y="731520"/>
              <a:ext cx="3131820" cy="448200"/>
            </a:xfrm>
            <a:prstGeom prst="rect">
              <a:avLst/>
            </a:prstGeom>
            <a:solidFill>
              <a:srgbClr val="FE484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>
                  <a:latin typeface="+mn-lt"/>
                </a:rPr>
                <a:t>      GPR =</a:t>
              </a:r>
              <a14:m>
                <m:oMath xmlns:m="http://schemas.openxmlformats.org/officeDocument/2006/math">
                  <m:f>
                    <m:fPr>
                      <m:ctrlPr>
                        <a:rPr lang="en-US" sz="20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𝐺𝑟𝑜𝑠𝑠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𝑃𝑟𝑜𝑓𝑖𝑡</m:t>
                      </m:r>
                    </m:num>
                    <m:den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𝑁𝑒𝑡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𝑆𝑎𝑙𝑒𝑠</m:t>
                      </m:r>
                      <m:r>
                        <a:rPr lang="en-US" sz="2000" b="0" i="1">
                          <a:latin typeface="Cambria Math" panose="02040503050406030204" pitchFamily="18" charset="0"/>
                        </a:rPr>
                        <m:t> </m:t>
                      </m:r>
                    </m:den>
                  </m:f>
                  <m:r>
                    <a:rPr lang="en-US" sz="20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×</m:t>
                  </m:r>
                  <m:r>
                    <a:rPr lang="en-US" sz="20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100</m:t>
                  </m:r>
                </m:oMath>
              </a14:m>
              <a:endParaRPr lang="en-US" sz="2000" b="0">
                <a:latin typeface="+mn-lt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00CC5F5-CB5F-4FC7-A760-41AED0FA37D8}"/>
                </a:ext>
              </a:extLst>
            </xdr:cNvPr>
            <xdr:cNvSpPr txBox="1"/>
          </xdr:nvSpPr>
          <xdr:spPr>
            <a:xfrm>
              <a:off x="5486400" y="731520"/>
              <a:ext cx="3131820" cy="448200"/>
            </a:xfrm>
            <a:prstGeom prst="rect">
              <a:avLst/>
            </a:prstGeom>
            <a:solidFill>
              <a:srgbClr val="FE4848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>
                  <a:latin typeface="+mn-lt"/>
                </a:rPr>
                <a:t>      GPR =</a:t>
              </a:r>
              <a:r>
                <a:rPr lang="en-US" sz="2000" i="0">
                  <a:latin typeface="Cambria Math" panose="02040503050406030204" pitchFamily="18" charset="0"/>
                </a:rPr>
                <a:t>(</a:t>
              </a:r>
              <a:r>
                <a:rPr lang="en-US" sz="2000" b="0" i="0">
                  <a:latin typeface="Cambria Math" panose="02040503050406030204" pitchFamily="18" charset="0"/>
                </a:rPr>
                <a:t>𝐺𝑟𝑜𝑠𝑠 𝑃𝑟𝑜𝑓𝑖𝑡)/(𝑁𝑒𝑡 𝑆𝑎𝑙𝑒𝑠 )</a:t>
              </a:r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100</a:t>
              </a:r>
              <a:endParaRPr lang="en-US" sz="2000" b="0">
                <a:latin typeface="+mn-lt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name="ExternalData_2" connectionId="7" autoFormatId="16" applyNumberFormats="0" applyBorderFormats="0" applyFontFormats="0" applyPatternFormats="0" applyAlignmentFormats="0" applyWidthHeightFormats="0">
  <queryTableRefresh nextId="5">
    <queryTableFields count="4">
      <queryTableField id="1" name="Firm ID" tableColumnId="1"/>
      <queryTableField id="2" name="Company ID" tableColumnId="2"/>
      <queryTableField id="3" name="Year" tableColumnId="3"/>
      <queryTableField id="4" name="D/E Ratio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15" autoFormatId="16" applyNumberFormats="0" applyBorderFormats="0" applyFontFormats="0" applyPatternFormats="0" applyAlignmentFormats="0" applyWidthHeightFormats="0">
  <queryTableRefresh nextId="5">
    <queryTableFields count="4">
      <queryTableField id="1" name="Firm ID" tableColumnId="1"/>
      <queryTableField id="2" name="Company ID" tableColumnId="2"/>
      <queryTableField id="3" name="Year" tableColumnId="3"/>
      <queryTableField id="4" name="D/A Ratio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8" autoFormatId="16" applyNumberFormats="0" applyBorderFormats="0" applyFontFormats="0" applyPatternFormats="0" applyAlignmentFormats="0" applyWidthHeightFormats="0">
  <queryTableRefresh nextId="9">
    <queryTableFields count="8">
      <queryTableField id="1" name="Firm ID" tableColumnId="1"/>
      <queryTableField id="2" name="Company ID" tableColumnId="2"/>
      <queryTableField id="3" name="Year" tableColumnId="3"/>
      <queryTableField id="4" name="Gearing Ratio" tableColumnId="4"/>
      <queryTableField id="5" name="Firm ID_1" tableColumnId="5"/>
      <queryTableField id="6" name="Company ID_2" tableColumnId="6"/>
      <queryTableField id="7" name="Year_3" tableColumnId="7"/>
      <queryTableField id="8" name="Gearing Ratio_4" tableColumnId="8"/>
    </queryTableFields>
  </queryTableRefresh>
</queryTable>
</file>

<file path=xl/queryTables/queryTable4.xml><?xml version="1.0" encoding="utf-8"?>
<queryTable xmlns="http://schemas.openxmlformats.org/spreadsheetml/2006/main" name="ExternalData_2" connectionId="16" autoFormatId="16" applyNumberFormats="0" applyBorderFormats="0" applyFontFormats="0" applyPatternFormats="0" applyAlignmentFormats="0" applyWidthHeightFormats="0">
  <queryTableRefresh nextId="7">
    <queryTableFields count="4">
      <queryTableField id="1" name="Firm ID" tableColumnId="1"/>
      <queryTableField id="2" name="Company ID" tableColumnId="2"/>
      <queryTableField id="3" name="Year" tableColumnId="3"/>
      <queryTableField id="6" name="GPR" tableColumnId="6"/>
    </queryTableFields>
    <queryTableDeletedFields count="2">
      <deletedField name="Gross Profit"/>
      <deletedField name="Net Sal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5" name="Output__7" displayName="Output__7" ref="A1:D51" tableType="queryTable" totalsRowShown="0" headerRowDxfId="29" headerRowBorderDxfId="28" tableBorderDxfId="27" totalsRowBorderDxfId="26">
  <autoFilter ref="A1:D51"/>
  <tableColumns count="4">
    <tableColumn id="1" uniqueName="1" name="Firm ID" queryTableFieldId="1" dataDxfId="25"/>
    <tableColumn id="2" uniqueName="2" name="Company ID" queryTableFieldId="2" dataDxfId="24"/>
    <tableColumn id="3" uniqueName="3" name="Year" queryTableFieldId="3" dataDxfId="23"/>
    <tableColumn id="4" uniqueName="4" name="D/E Ratio" queryTableFieldId="4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9" name="Sheet1__7" displayName="Sheet1__7" ref="A1:D107" tableType="queryTable" totalsRowShown="0" headerRowDxfId="21">
  <autoFilter ref="A1:D107"/>
  <tableColumns count="4">
    <tableColumn id="1" uniqueName="1" name="Firm ID" queryTableFieldId="1"/>
    <tableColumn id="2" uniqueName="2" name="Company ID" queryTableFieldId="2" dataDxfId="20"/>
    <tableColumn id="3" uniqueName="3" name="Year" queryTableFieldId="3"/>
    <tableColumn id="4" uniqueName="4" name="D/A Ratio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0" name="Output__8" displayName="Output__8" ref="A1:H26" tableType="queryTable" totalsRowShown="0" headerRowDxfId="19" headerRowBorderDxfId="18" tableBorderDxfId="17" totalsRowBorderDxfId="16">
  <autoFilter ref="A1:H26"/>
  <tableColumns count="8">
    <tableColumn id="1" uniqueName="1" name="Firm ID" queryTableFieldId="1" dataDxfId="15"/>
    <tableColumn id="2" uniqueName="2" name="Company ID" queryTableFieldId="2" dataDxfId="14"/>
    <tableColumn id="3" uniqueName="3" name="Year" queryTableFieldId="3" dataDxfId="13"/>
    <tableColumn id="4" uniqueName="4" name="Gearing Ratio" queryTableFieldId="4" dataDxfId="12"/>
    <tableColumn id="5" uniqueName="5" name="Firm ID_1" queryTableFieldId="5" dataDxfId="11"/>
    <tableColumn id="6" uniqueName="6" name="Company ID_2" queryTableFieldId="6" dataDxfId="10"/>
    <tableColumn id="7" uniqueName="7" name="Year_3" queryTableFieldId="7" dataDxfId="9"/>
    <tableColumn id="8" uniqueName="8" name="Gearing Ratio_4" queryTableFieldId="8" dataDxf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1" name="Sheet1__8" displayName="Sheet1__8" ref="A1:D51" tableType="queryTable" totalsRowShown="0" headerRowDxfId="7" headerRowBorderDxfId="6" tableBorderDxfId="5" totalsRowBorderDxfId="4">
  <autoFilter ref="A1:D51"/>
  <tableColumns count="4">
    <tableColumn id="1" uniqueName="1" name="Firm ID" queryTableFieldId="1" dataDxfId="3"/>
    <tableColumn id="2" uniqueName="2" name="Company ID" queryTableFieldId="2" dataDxfId="2"/>
    <tableColumn id="3" uniqueName="3" name="Year" queryTableFieldId="3" dataDxfId="1"/>
    <tableColumn id="6" uniqueName="6" name="GPR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51"/>
  <sheetViews>
    <sheetView tabSelected="1" topLeftCell="A11" zoomScale="81" workbookViewId="0">
      <selection activeCell="B44" sqref="B44"/>
    </sheetView>
  </sheetViews>
  <sheetFormatPr defaultRowHeight="14.4" x14ac:dyDescent="0.3"/>
  <cols>
    <col min="1" max="1" width="12.109375" style="4" bestFit="1" customWidth="1"/>
    <col min="2" max="2" width="34.77734375" style="4" customWidth="1"/>
    <col min="3" max="3" width="13.88671875" style="4" customWidth="1"/>
    <col min="4" max="4" width="23.88671875" style="1" customWidth="1"/>
    <col min="5" max="5" width="14.44140625" style="3" customWidth="1"/>
    <col min="6" max="6" width="15.44140625" style="1" customWidth="1"/>
    <col min="7" max="8" width="22.6640625" style="1" customWidth="1"/>
    <col min="10" max="16384" width="8.88671875" style="1"/>
  </cols>
  <sheetData>
    <row r="1" spans="1:11" ht="30.6" customHeight="1" x14ac:dyDescent="0.3">
      <c r="A1" s="12" t="s">
        <v>1</v>
      </c>
      <c r="B1" s="12" t="s">
        <v>2</v>
      </c>
      <c r="C1" s="12" t="s">
        <v>0</v>
      </c>
      <c r="D1" s="9" t="s">
        <v>9</v>
      </c>
      <c r="E1" s="8" t="s">
        <v>6</v>
      </c>
      <c r="F1" s="7" t="s">
        <v>7</v>
      </c>
      <c r="G1" s="10" t="s">
        <v>8</v>
      </c>
      <c r="H1" s="38" t="s">
        <v>29</v>
      </c>
    </row>
    <row r="2" spans="1:11" ht="15.6" x14ac:dyDescent="0.3">
      <c r="A2" s="13">
        <v>1</v>
      </c>
      <c r="B2" s="14" t="s">
        <v>3</v>
      </c>
      <c r="C2" s="13">
        <v>2022</v>
      </c>
      <c r="D2" s="15">
        <f>Sheet1__8[[#This Row],[GPR]]</f>
        <v>17.562033438078544</v>
      </c>
      <c r="E2" s="15">
        <f>Output__7[[#This Row],[D/E Ratio]]</f>
        <v>1.3831525051100031</v>
      </c>
      <c r="F2" s="15">
        <f>Sheet1__7[[#This Row],[D/A Ratio]]</f>
        <v>0.58038774360609313</v>
      </c>
      <c r="G2" s="15">
        <f>IC!D10</f>
        <v>68.786012450870061</v>
      </c>
      <c r="H2" s="15">
        <f>Output__8[[#This Row],[Gearing Ratio]]</f>
        <v>7.0878774572873698E-2</v>
      </c>
    </row>
    <row r="3" spans="1:11" ht="15.6" x14ac:dyDescent="0.3">
      <c r="A3" s="13">
        <v>1</v>
      </c>
      <c r="B3" s="14" t="s">
        <v>3</v>
      </c>
      <c r="C3" s="13">
        <v>2021</v>
      </c>
      <c r="D3" s="15">
        <f>Sheet1__8[[#This Row],[GPR]]</f>
        <v>17.569596261450076</v>
      </c>
      <c r="E3" s="15">
        <f>Output__7[[#This Row],[D/E Ratio]]</f>
        <v>1.8075847051991389</v>
      </c>
      <c r="F3" s="15">
        <f>Sheet1__7[[#This Row],[D/A Ratio]]</f>
        <v>0.59843268745374356</v>
      </c>
      <c r="G3" s="15">
        <f>IC!G10</f>
        <v>46.158719051132849</v>
      </c>
      <c r="H3" s="15">
        <f>Output__8[[#This Row],[Gearing Ratio]]</f>
        <v>1.6287165816052618</v>
      </c>
    </row>
    <row r="4" spans="1:11" ht="15.6" x14ac:dyDescent="0.3">
      <c r="A4" s="13">
        <v>1</v>
      </c>
      <c r="B4" s="14" t="s">
        <v>3</v>
      </c>
      <c r="C4" s="13">
        <v>2020</v>
      </c>
      <c r="D4" s="15">
        <f>Sheet1__8[[#This Row],[GPR]]</f>
        <v>18.579648528445244</v>
      </c>
      <c r="E4" s="15">
        <f>Output__7[[#This Row],[D/E Ratio]]</f>
        <v>1.1280729506505502</v>
      </c>
      <c r="F4" s="15">
        <f>Sheet1__7[[#This Row],[D/A Ratio]]</f>
        <v>0.64382196620882681</v>
      </c>
      <c r="G4" s="15">
        <f>IC!J10</f>
        <v>0.61517478877539145</v>
      </c>
      <c r="H4" s="15">
        <f>Output__8[[#This Row],[Gearing Ratio]]</f>
        <v>0.69827325777792915</v>
      </c>
    </row>
    <row r="5" spans="1:11" ht="15.6" x14ac:dyDescent="0.3">
      <c r="A5" s="13">
        <v>1</v>
      </c>
      <c r="B5" s="14" t="s">
        <v>3</v>
      </c>
      <c r="C5" s="13">
        <v>2019</v>
      </c>
      <c r="D5" s="15">
        <f>Sheet1__8[[#This Row],[GPR]]</f>
        <v>18.961402010275446</v>
      </c>
      <c r="E5" s="15">
        <f>Output__7[[#This Row],[D/E Ratio]]</f>
        <v>1.1280729506505502</v>
      </c>
      <c r="F5" s="15">
        <f>Sheet1__7[[#This Row],[D/A Ratio]]</f>
        <v>0.5300912970608922</v>
      </c>
      <c r="G5" s="15">
        <f>IC!M10</f>
        <v>12.82154672852357</v>
      </c>
      <c r="H5" s="15">
        <f>Output__8[[#This Row],[Gearing Ratio]]</f>
        <v>0.16761645596653851</v>
      </c>
    </row>
    <row r="6" spans="1:11" s="40" customFormat="1" ht="15.6" x14ac:dyDescent="0.3">
      <c r="A6" s="41">
        <v>1</v>
      </c>
      <c r="B6" s="42" t="s">
        <v>3</v>
      </c>
      <c r="C6" s="41">
        <v>2018</v>
      </c>
      <c r="D6" s="15">
        <f>Sheet1__8[[#This Row],[GPR]]</f>
        <v>17.703836292970987</v>
      </c>
      <c r="E6" s="15">
        <f>Output__7[[#This Row],[D/E Ratio]]</f>
        <v>1.0464863005849432</v>
      </c>
      <c r="F6" s="15">
        <f>Sheet1__7[[#This Row],[D/A Ratio]]</f>
        <v>0.51135758899819073</v>
      </c>
      <c r="G6" s="15">
        <f>IC!P10</f>
        <v>8.4502363533292559</v>
      </c>
      <c r="H6" s="15">
        <f>Output__8[[#This Row],[Gearing Ratio]]</f>
        <v>0.63200276345000905</v>
      </c>
    </row>
    <row r="7" spans="1:11" s="40" customFormat="1" ht="15.6" x14ac:dyDescent="0.3">
      <c r="A7" s="41">
        <v>1</v>
      </c>
      <c r="B7" s="42" t="s">
        <v>3</v>
      </c>
      <c r="C7" s="13">
        <v>2017</v>
      </c>
      <c r="D7" s="15">
        <f>Sheet1__8[[#This Row],[GPR]]</f>
        <v>17.63881639497621</v>
      </c>
      <c r="E7" s="15">
        <f>Output__7[[#This Row],[D/E Ratio]]</f>
        <v>0.74490960655071947</v>
      </c>
      <c r="F7" s="15">
        <f>Sheet1__7[[#This Row],[D/A Ratio]]</f>
        <v>1.0557041475282138</v>
      </c>
      <c r="G7" s="39">
        <f>IC!D20</f>
        <v>11.318545944727434</v>
      </c>
      <c r="H7" s="15">
        <f>Output__8[[#This Row],[Gearing Ratio]]</f>
        <v>1.0770596320238874</v>
      </c>
    </row>
    <row r="8" spans="1:11" s="40" customFormat="1" ht="15.6" x14ac:dyDescent="0.3">
      <c r="A8" s="41">
        <v>1</v>
      </c>
      <c r="B8" s="42" t="s">
        <v>3</v>
      </c>
      <c r="C8" s="41">
        <v>2016</v>
      </c>
      <c r="D8" s="15">
        <f>Sheet1__8[[#This Row],[GPR]]</f>
        <v>18.492810783787064</v>
      </c>
      <c r="E8" s="15">
        <f>Output__7[[#This Row],[D/E Ratio]]</f>
        <v>1.7798994341639698</v>
      </c>
      <c r="F8" s="15">
        <f>Sheet1__7[[#This Row],[D/A Ratio]]</f>
        <v>1.0298967408798727</v>
      </c>
      <c r="G8" s="39">
        <f>IC!G20</f>
        <v>23.372642191485674</v>
      </c>
      <c r="H8" s="15">
        <f>Output__8[[#This Row],[Gearing Ratio]]</f>
        <v>1.3002889152905228</v>
      </c>
    </row>
    <row r="9" spans="1:11" s="40" customFormat="1" ht="15.6" x14ac:dyDescent="0.3">
      <c r="A9" s="41">
        <v>1</v>
      </c>
      <c r="B9" s="42" t="s">
        <v>3</v>
      </c>
      <c r="C9" s="13">
        <v>2015</v>
      </c>
      <c r="D9" s="15">
        <f>Sheet1__8[[#This Row],[GPR]]</f>
        <v>16.176307585116568</v>
      </c>
      <c r="E9" s="15">
        <f>Output__7[[#This Row],[D/E Ratio]]</f>
        <v>0.89300029675376524</v>
      </c>
      <c r="F9" s="15">
        <f>Sheet1__7[[#This Row],[D/A Ratio]]</f>
        <v>0.47173806485140962</v>
      </c>
      <c r="G9" s="39">
        <f>IC!J20</f>
        <v>9.5347854469090869</v>
      </c>
      <c r="H9" s="15">
        <f>Output__8[[#This Row],[Gearing Ratio]]</f>
        <v>1.4765257478973541</v>
      </c>
    </row>
    <row r="10" spans="1:11" s="40" customFormat="1" ht="15.6" x14ac:dyDescent="0.3">
      <c r="A10" s="41">
        <v>1</v>
      </c>
      <c r="B10" s="42" t="s">
        <v>3</v>
      </c>
      <c r="C10" s="41">
        <v>2014</v>
      </c>
      <c r="D10" s="15">
        <f>Sheet1__8[[#This Row],[GPR]]</f>
        <v>15.863076923262657</v>
      </c>
      <c r="E10" s="15">
        <f>Output__7[[#This Row],[D/E Ratio]]</f>
        <v>1.0312067606773694</v>
      </c>
      <c r="F10" s="15">
        <f>Sheet1__7[[#This Row],[D/A Ratio]]</f>
        <v>1.0674925292690829</v>
      </c>
      <c r="G10" s="39">
        <f>IC!M20</f>
        <v>8.2686003009942741</v>
      </c>
      <c r="H10" s="15">
        <f>Output__8[[#This Row],[Gearing Ratio]]</f>
        <v>2.4762854975979391</v>
      </c>
    </row>
    <row r="11" spans="1:11" s="40" customFormat="1" ht="16.2" thickBot="1" x14ac:dyDescent="0.35">
      <c r="A11" s="16">
        <v>1</v>
      </c>
      <c r="B11" s="17" t="s">
        <v>3</v>
      </c>
      <c r="C11" s="16">
        <v>2013</v>
      </c>
      <c r="D11" s="18">
        <f>Sheet1__8[[#This Row],[GPR]]</f>
        <v>16.218739573746593</v>
      </c>
      <c r="E11" s="18">
        <f>Output__7[[#This Row],[D/E Ratio]]</f>
        <v>1.1831078372979018</v>
      </c>
      <c r="F11" s="18">
        <f>Sheet1__7[[#This Row],[D/A Ratio]]</f>
        <v>1.0479093838565758</v>
      </c>
      <c r="G11" s="18">
        <f>IC!P20</f>
        <v>8.3583367107790441</v>
      </c>
      <c r="H11" s="18">
        <f>Output__8[[#This Row],[Gearing Ratio]]</f>
        <v>2.8211998709634107</v>
      </c>
    </row>
    <row r="12" spans="1:11" ht="15.6" x14ac:dyDescent="0.3">
      <c r="A12" s="19">
        <v>2</v>
      </c>
      <c r="B12" s="20" t="s">
        <v>4</v>
      </c>
      <c r="C12" s="21">
        <v>2022</v>
      </c>
      <c r="D12" s="30">
        <f>Sheet1__8[[#This Row],[GPR]]</f>
        <v>28.056188198155972</v>
      </c>
      <c r="E12" s="30">
        <f>Output__7[[#This Row],[D/E Ratio]]</f>
        <v>2.4181671910026017</v>
      </c>
      <c r="F12" s="30">
        <f>Sheet1__7[[#This Row],[D/A Ratio]]</f>
        <v>0.70744555660348363</v>
      </c>
      <c r="G12" s="22">
        <f>IC!D11</f>
        <v>2.5008828105643248</v>
      </c>
      <c r="H12" s="30">
        <f>Output__8[[#This Row],[Gearing Ratio]]</f>
        <v>0.25909319990219803</v>
      </c>
    </row>
    <row r="13" spans="1:11" ht="15.6" x14ac:dyDescent="0.3">
      <c r="A13" s="23">
        <v>2</v>
      </c>
      <c r="B13" s="14" t="s">
        <v>4</v>
      </c>
      <c r="C13" s="24">
        <v>2021</v>
      </c>
      <c r="D13" s="15">
        <f>Sheet1__8[[#This Row],[GPR]]</f>
        <v>30.041363825382959</v>
      </c>
      <c r="E13" s="15">
        <f>Output__7[[#This Row],[D/E Ratio]]</f>
        <v>2.7189185581117128</v>
      </c>
      <c r="F13" s="15">
        <f>Sheet1__7[[#This Row],[D/A Ratio]]</f>
        <v>0.73110462507472829</v>
      </c>
      <c r="G13" s="15">
        <f>IC!G11</f>
        <v>2.1584732791799861</v>
      </c>
      <c r="H13" s="15">
        <f>Output__8[[#This Row],[Gearing Ratio]]</f>
        <v>0.55714227621777801</v>
      </c>
    </row>
    <row r="14" spans="1:11" ht="15.6" x14ac:dyDescent="0.3">
      <c r="A14" s="23">
        <v>2</v>
      </c>
      <c r="B14" s="14" t="s">
        <v>4</v>
      </c>
      <c r="C14" s="24">
        <v>2020</v>
      </c>
      <c r="D14" s="15">
        <f>Sheet1__8[[#This Row],[GPR]]</f>
        <v>31.288434212670531</v>
      </c>
      <c r="E14" s="15">
        <f>Output__7[[#This Row],[D/E Ratio]]</f>
        <v>5.2844090512686392</v>
      </c>
      <c r="F14" s="15">
        <f>Sheet1__7[[#This Row],[D/A Ratio]]</f>
        <v>0.84087604867189092</v>
      </c>
      <c r="G14" s="15">
        <f>IC!J11</f>
        <v>1.0615501136573831</v>
      </c>
      <c r="H14" s="15">
        <f>Output__8[[#This Row],[Gearing Ratio]]</f>
        <v>0.25412862118523299</v>
      </c>
    </row>
    <row r="15" spans="1:11" ht="15.6" x14ac:dyDescent="0.3">
      <c r="A15" s="23">
        <v>2</v>
      </c>
      <c r="B15" s="14" t="s">
        <v>4</v>
      </c>
      <c r="C15" s="24">
        <v>2019</v>
      </c>
      <c r="D15" s="15">
        <f>Sheet1__8[[#This Row],[GPR]]</f>
        <v>31.181604934593622</v>
      </c>
      <c r="E15" s="15">
        <f>Output__7[[#This Row],[D/E Ratio]]</f>
        <v>5.8568190051611699</v>
      </c>
      <c r="F15" s="15">
        <f>Sheet1__7[[#This Row],[D/A Ratio]]</f>
        <v>0.85415977886432559</v>
      </c>
      <c r="G15" s="15">
        <f>IC!M11</f>
        <v>1.1963293789729628</v>
      </c>
      <c r="H15" s="15">
        <f>Output__8[[#This Row],[Gearing Ratio]]</f>
        <v>0.14984068761619376</v>
      </c>
    </row>
    <row r="16" spans="1:11" ht="15.6" x14ac:dyDescent="0.3">
      <c r="A16" s="13">
        <v>2</v>
      </c>
      <c r="B16" s="14" t="s">
        <v>4</v>
      </c>
      <c r="C16" s="13">
        <v>2018</v>
      </c>
      <c r="D16" s="15">
        <f>Sheet1__8[[#This Row],[GPR]]</f>
        <v>31.742393628124198</v>
      </c>
      <c r="E16" s="15">
        <f>Output__7[[#This Row],[D/E Ratio]]</f>
        <v>5.9958446066283511</v>
      </c>
      <c r="F16" s="15">
        <f>Sheet1__7[[#This Row],[D/A Ratio]]</f>
        <v>0.85705800282462963</v>
      </c>
      <c r="G16" s="39">
        <f>IC!P11</f>
        <v>3.2208653285229372</v>
      </c>
      <c r="H16" s="15">
        <f>Output__8[[#This Row],[Gearing Ratio]]</f>
        <v>0.23073998239624927</v>
      </c>
      <c r="K16" s="2"/>
    </row>
    <row r="17" spans="1:15" ht="15.6" x14ac:dyDescent="0.3">
      <c r="A17" s="13">
        <v>2</v>
      </c>
      <c r="B17" s="14" t="s">
        <v>4</v>
      </c>
      <c r="C17" s="24">
        <v>2017</v>
      </c>
      <c r="D17" s="15">
        <f>Sheet1__8[[#This Row],[GPR]]</f>
        <v>39.797620684959604</v>
      </c>
      <c r="E17" s="15">
        <f>Output__7[[#This Row],[D/E Ratio]]</f>
        <v>5.245866707689574</v>
      </c>
      <c r="F17" s="15">
        <f>Sheet1__7[[#This Row],[D/A Ratio]]</f>
        <v>0.83989411769404976</v>
      </c>
      <c r="G17" s="39">
        <f>IC!D21</f>
        <v>1.7352124350844043</v>
      </c>
      <c r="H17" s="15">
        <f>Output__8[[#This Row],[Gearing Ratio]]</f>
        <v>0.1640212089190764</v>
      </c>
    </row>
    <row r="18" spans="1:15" ht="15.6" x14ac:dyDescent="0.3">
      <c r="A18" s="13">
        <v>2</v>
      </c>
      <c r="B18" s="14" t="s">
        <v>4</v>
      </c>
      <c r="C18" s="13">
        <v>2016</v>
      </c>
      <c r="D18" s="15">
        <f>Sheet1__8[[#This Row],[GPR]]</f>
        <v>37.202037400795305</v>
      </c>
      <c r="E18" s="15">
        <f>Output__7[[#This Row],[D/E Ratio]]</f>
        <v>4.7188331816098312</v>
      </c>
      <c r="F18" s="15">
        <f>Sheet1__7[[#This Row],[D/A Ratio]]</f>
        <v>0.8251391554459534</v>
      </c>
      <c r="G18" s="39">
        <f>IC!G21</f>
        <v>1.6290539740499825</v>
      </c>
      <c r="H18" s="15">
        <f>Output__8[[#This Row],[Gearing Ratio]]</f>
        <v>3.421188976988363</v>
      </c>
    </row>
    <row r="19" spans="1:15" ht="15.6" x14ac:dyDescent="0.3">
      <c r="A19" s="13">
        <v>2</v>
      </c>
      <c r="B19" s="14" t="s">
        <v>4</v>
      </c>
      <c r="C19" s="24">
        <v>2015</v>
      </c>
      <c r="D19" s="15">
        <f>Sheet1__8[[#This Row],[GPR]]</f>
        <v>32.522604981158246</v>
      </c>
      <c r="E19" s="15">
        <f>Output__7[[#This Row],[D/E Ratio]]</f>
        <v>3.3667174238448432</v>
      </c>
      <c r="F19" s="15">
        <f>Sheet1__7[[#This Row],[D/A Ratio]]</f>
        <v>0.49745209202920126</v>
      </c>
      <c r="G19" s="39">
        <f>IC!J21</f>
        <v>1.651592013987434</v>
      </c>
      <c r="H19" s="15">
        <f>Output__8[[#This Row],[Gearing Ratio]]</f>
        <v>3.8016950326746239</v>
      </c>
    </row>
    <row r="20" spans="1:15" ht="15.6" x14ac:dyDescent="0.3">
      <c r="A20" s="13">
        <v>2</v>
      </c>
      <c r="B20" s="14" t="s">
        <v>4</v>
      </c>
      <c r="C20" s="13">
        <v>2014</v>
      </c>
      <c r="D20" s="15">
        <f>Sheet1__8[[#This Row],[GPR]]</f>
        <v>31.089801401148719</v>
      </c>
      <c r="E20" s="15">
        <f>Output__7[[#This Row],[D/E Ratio]]</f>
        <v>2.9136340711613982</v>
      </c>
      <c r="F20" s="15">
        <f>Sheet1__7[[#This Row],[D/A Ratio]]</f>
        <v>0.53360398075739912</v>
      </c>
      <c r="G20" s="39">
        <f>IC!M21</f>
        <v>1.2751547067584532</v>
      </c>
      <c r="H20" s="15">
        <f>Output__8[[#This Row],[Gearing Ratio]]</f>
        <v>3.6433763527822571</v>
      </c>
    </row>
    <row r="21" spans="1:15" ht="16.2" thickBot="1" x14ac:dyDescent="0.35">
      <c r="A21" s="16">
        <v>2</v>
      </c>
      <c r="B21" s="17" t="s">
        <v>4</v>
      </c>
      <c r="C21" s="25">
        <v>2013</v>
      </c>
      <c r="D21" s="18">
        <f>Sheet1__8[[#This Row],[GPR]]</f>
        <v>36.885907934996332</v>
      </c>
      <c r="E21" s="18">
        <f>Output__7[[#This Row],[D/E Ratio]]</f>
        <v>2.7576935042959452</v>
      </c>
      <c r="F21" s="18">
        <f>Sheet1__7[[#This Row],[D/A Ratio]]</f>
        <v>0.73387930685225922</v>
      </c>
      <c r="G21" s="18">
        <f>IC!P21</f>
        <v>1.2551113882223823</v>
      </c>
      <c r="H21" s="18">
        <f>Output__8[[#This Row],[Gearing Ratio]]</f>
        <v>2.6539356127266198</v>
      </c>
      <c r="M21" s="2"/>
      <c r="N21" s="2"/>
      <c r="O21" s="2"/>
    </row>
    <row r="22" spans="1:15" ht="15.6" x14ac:dyDescent="0.3">
      <c r="A22" s="26">
        <v>3</v>
      </c>
      <c r="B22" s="27" t="str">
        <f>Output__7[[#This Row],[Company ID]]</f>
        <v>John Keells Holdings PLC</v>
      </c>
      <c r="C22" s="26">
        <v>2022</v>
      </c>
      <c r="D22" s="30">
        <f>Sheet1__8[[#This Row],[GPR]]</f>
        <v>17.262309685322297</v>
      </c>
      <c r="E22" s="30">
        <f>Output__7[[#This Row],[D/E Ratio]]</f>
        <v>1.1745357021082456</v>
      </c>
      <c r="F22" s="30">
        <f>Sheet1__7[[#This Row],[D/A Ratio]]</f>
        <v>0.54013171683937644</v>
      </c>
      <c r="G22" s="30">
        <f>IC!D12</f>
        <v>5.0713387778783856</v>
      </c>
      <c r="H22" s="30">
        <f>Output__8[[#This Row],[Gearing Ratio]]</f>
        <v>0.560480949755219</v>
      </c>
      <c r="L22" s="2"/>
      <c r="M22" s="2"/>
      <c r="N22" s="2"/>
      <c r="O22" s="2"/>
    </row>
    <row r="23" spans="1:15" ht="15.6" x14ac:dyDescent="0.3">
      <c r="A23" s="13">
        <v>3</v>
      </c>
      <c r="B23" s="27" t="str">
        <f>Output__7[[#This Row],[Company ID]]</f>
        <v>John Keells Holdings PLC</v>
      </c>
      <c r="C23" s="13">
        <v>2021</v>
      </c>
      <c r="D23" s="15">
        <f>Sheet1__8[[#This Row],[GPR]]</f>
        <v>14.825530161781044</v>
      </c>
      <c r="E23" s="15">
        <f>Output__7[[#This Row],[D/E Ratio]]</f>
        <v>1.2091493856236957</v>
      </c>
      <c r="F23" s="15">
        <f>Sheet1__7[[#This Row],[D/A Ratio]]</f>
        <v>0.54733708525660607</v>
      </c>
      <c r="G23" s="15">
        <f>IC!G12</f>
        <v>2.2388743037090242</v>
      </c>
      <c r="H23" s="15">
        <f>Output__8[[#This Row],[Gearing Ratio]]</f>
        <v>0.47467197324685428</v>
      </c>
      <c r="K23" s="2"/>
    </row>
    <row r="24" spans="1:15" ht="15.6" x14ac:dyDescent="0.3">
      <c r="A24" s="13">
        <v>3</v>
      </c>
      <c r="B24" s="27" t="str">
        <f>Output__7[[#This Row],[Company ID]]</f>
        <v>John Keells Holdings PLC</v>
      </c>
      <c r="C24" s="13">
        <v>2020</v>
      </c>
      <c r="D24" s="15">
        <f>Sheet1__8[[#This Row],[GPR]]</f>
        <v>18.624074709859631</v>
      </c>
      <c r="E24" s="15">
        <f>Output__7[[#This Row],[D/E Ratio]]</f>
        <v>0.54749667474085895</v>
      </c>
      <c r="F24" s="15">
        <f>Sheet1__7[[#This Row],[D/A Ratio]]</f>
        <v>0.44220803718107426</v>
      </c>
      <c r="G24" s="15">
        <f>IC!J12</f>
        <v>4.9951728307614305</v>
      </c>
      <c r="H24" s="15">
        <f>Output__8[[#This Row],[Gearing Ratio]]</f>
        <v>1.6715074937844214</v>
      </c>
    </row>
    <row r="25" spans="1:15" ht="15.6" x14ac:dyDescent="0.3">
      <c r="A25" s="13">
        <v>3</v>
      </c>
      <c r="B25" s="27" t="str">
        <f>Output__7[[#This Row],[Company ID]]</f>
        <v>John Keells Holdings PLC</v>
      </c>
      <c r="C25" s="13">
        <v>2019</v>
      </c>
      <c r="D25" s="15">
        <f>Sheet1__8[[#This Row],[GPR]]</f>
        <v>20.513882470657588</v>
      </c>
      <c r="E25" s="15">
        <f>Output__7[[#This Row],[D/E Ratio]]</f>
        <v>0.83877936213750781</v>
      </c>
      <c r="F25" s="15">
        <f>Sheet1__7[[#This Row],[D/A Ratio]]</f>
        <v>0.36679273852984234</v>
      </c>
      <c r="G25" s="15">
        <f>IC!M12</f>
        <v>13.008549930718081</v>
      </c>
      <c r="H25" s="15">
        <f>Output__8[[#This Row],[Gearing Ratio]]</f>
        <v>2.7063031241434117</v>
      </c>
    </row>
    <row r="26" spans="1:15" ht="15.6" x14ac:dyDescent="0.3">
      <c r="A26" s="41">
        <v>3</v>
      </c>
      <c r="B26" s="27" t="str">
        <f>Output__7[[#This Row],[Company ID]]</f>
        <v>John Keells Holdings PLC</v>
      </c>
      <c r="C26" s="41">
        <v>2018</v>
      </c>
      <c r="D26" s="15">
        <f>Sheet1__8[[#This Row],[GPR]]</f>
        <v>24.157635281526709</v>
      </c>
      <c r="E26" s="15">
        <f>Output__7[[#This Row],[D/E Ratio]]</f>
        <v>0.43396649411822213</v>
      </c>
      <c r="F26" s="15">
        <f>Sheet1__7[[#This Row],[D/A Ratio]]</f>
        <v>0.30263363607047022</v>
      </c>
      <c r="G26" s="15">
        <f>IC!P12</f>
        <v>54.061814872205488</v>
      </c>
      <c r="H26" s="15">
        <f>Output__8[[#This Row],[Gearing Ratio]]</f>
        <v>4.1755971611470999</v>
      </c>
    </row>
    <row r="27" spans="1:15" ht="15.6" x14ac:dyDescent="0.3">
      <c r="A27" s="41">
        <v>3</v>
      </c>
      <c r="B27" s="27" t="str">
        <f>Output__7[[#This Row],[Company ID]]</f>
        <v>John Keells Holdings PLC</v>
      </c>
      <c r="C27" s="13">
        <v>2017</v>
      </c>
      <c r="D27" s="15">
        <f>Sheet1__8[[#This Row],[GPR]]</f>
        <v>29.278331682445213</v>
      </c>
      <c r="E27" s="15">
        <f>Output__7[[#This Row],[D/E Ratio]]</f>
        <v>0.42680608731393638</v>
      </c>
      <c r="F27" s="15">
        <f>Sheet1__7[[#This Row],[D/A Ratio]]</f>
        <v>1.1979726121551462</v>
      </c>
      <c r="G27" s="39">
        <f>IC!P12</f>
        <v>54.061814872205488</v>
      </c>
      <c r="H27" s="15">
        <f>GR!H2</f>
        <v>7.2527741034937199E-2</v>
      </c>
    </row>
    <row r="28" spans="1:15" ht="15.6" x14ac:dyDescent="0.3">
      <c r="A28" s="41">
        <v>3</v>
      </c>
      <c r="B28" s="27" t="str">
        <f>Output__7[[#This Row],[Company ID]]</f>
        <v>John Keells Holdings PLC</v>
      </c>
      <c r="C28" s="41">
        <v>2016</v>
      </c>
      <c r="D28" s="15">
        <f>Sheet1__8[[#This Row],[GPR]]</f>
        <v>30.575938603064518</v>
      </c>
      <c r="E28" s="15">
        <f>Output__7[[#This Row],[D/E Ratio]]</f>
        <v>0.43028851167556531</v>
      </c>
      <c r="F28" s="15">
        <f>Sheet1__7[[#This Row],[D/A Ratio]]</f>
        <v>1.2015116484740611</v>
      </c>
      <c r="G28" s="15">
        <f>IC!D22</f>
        <v>53.461579543318713</v>
      </c>
      <c r="H28" s="15">
        <f>GR!H3</f>
        <v>4.9799198837647586E-2</v>
      </c>
    </row>
    <row r="29" spans="1:15" ht="15.6" x14ac:dyDescent="0.3">
      <c r="A29" s="41">
        <v>3</v>
      </c>
      <c r="B29" s="27" t="str">
        <f>Output__7[[#This Row],[Company ID]]</f>
        <v>John Keells Holdings PLC</v>
      </c>
      <c r="C29" s="13">
        <v>2015</v>
      </c>
      <c r="D29" s="15">
        <f>Sheet1__8[[#This Row],[GPR]]</f>
        <v>27.724691842201377</v>
      </c>
      <c r="E29" s="15">
        <f>Output__7[[#This Row],[D/E Ratio]]</f>
        <v>0.45316151109555169</v>
      </c>
      <c r="F29" s="15">
        <f>Sheet1__7[[#This Row],[D/A Ratio]]</f>
        <v>0.31184524750721554</v>
      </c>
      <c r="G29" s="15">
        <f>IC!G22</f>
        <v>20.317963739255909</v>
      </c>
      <c r="H29" s="15">
        <f>GR!H4</f>
        <v>1.4979216270519893E-2</v>
      </c>
    </row>
    <row r="30" spans="1:15" ht="15.6" x14ac:dyDescent="0.3">
      <c r="A30" s="41">
        <v>3</v>
      </c>
      <c r="B30" s="27" t="str">
        <f>Output__7[[#This Row],[Company ID]]</f>
        <v>John Keells Holdings PLC</v>
      </c>
      <c r="C30" s="41">
        <v>2014</v>
      </c>
      <c r="D30" s="15">
        <f>Sheet1__8[[#This Row],[GPR]]</f>
        <v>27.673218822328117</v>
      </c>
      <c r="E30" s="15">
        <f>Output__7[[#This Row],[D/E Ratio]]</f>
        <v>0.50077486212021027</v>
      </c>
      <c r="F30" s="15">
        <f>Sheet1__7[[#This Row],[D/A Ratio]]</f>
        <v>0.33367753869007627</v>
      </c>
      <c r="G30" s="15">
        <f>IC!M22</f>
        <v>13.588625692888943</v>
      </c>
      <c r="H30" s="15">
        <f>GR!H5</f>
        <v>0.16458077259842804</v>
      </c>
    </row>
    <row r="31" spans="1:15" ht="16.2" thickBot="1" x14ac:dyDescent="0.35">
      <c r="A31" s="16">
        <v>3</v>
      </c>
      <c r="B31" s="29" t="str">
        <f>Output__7[[#This Row],[Company ID]]</f>
        <v>John Keells Holdings PLC</v>
      </c>
      <c r="C31" s="16">
        <v>2013</v>
      </c>
      <c r="D31" s="18">
        <f>Sheet1__8[[#This Row],[GPR]]</f>
        <v>26.781261909765909</v>
      </c>
      <c r="E31" s="18">
        <f>Output__7[[#This Row],[D/E Ratio]]</f>
        <v>0.57254182198797232</v>
      </c>
      <c r="F31" s="18">
        <f>Sheet1__7[[#This Row],[D/A Ratio]]</f>
        <v>0.73387930685225922</v>
      </c>
      <c r="G31" s="18">
        <f>IC!P22</f>
        <v>15.590179778731024</v>
      </c>
      <c r="H31" s="18">
        <f>GR!H6</f>
        <v>0.14154153420881974</v>
      </c>
    </row>
    <row r="32" spans="1:15" ht="15.6" x14ac:dyDescent="0.3">
      <c r="A32" s="60">
        <v>4</v>
      </c>
      <c r="B32" s="27" t="str">
        <f>Output__7[[#This Row],[Company ID]]</f>
        <v>LOLC Development Finance PLC</v>
      </c>
      <c r="C32" s="26">
        <v>2022</v>
      </c>
      <c r="D32" s="30">
        <f>Sheet1__8[[#This Row],[GPR]]</f>
        <v>73.242563633465409</v>
      </c>
      <c r="E32" s="30">
        <f>Output__7[[#This Row],[D/E Ratio]]</f>
        <v>5.9461310581743714</v>
      </c>
      <c r="F32" s="30">
        <f>Sheet1__7[[#This Row],[D/A Ratio]]</f>
        <v>0.85603496513023947</v>
      </c>
      <c r="G32" s="30">
        <f>IC!D13</f>
        <v>1.4065294300106792</v>
      </c>
      <c r="H32" s="30">
        <f>GR!H7</f>
        <v>2.7822004511837681</v>
      </c>
    </row>
    <row r="33" spans="1:8" ht="15.6" x14ac:dyDescent="0.3">
      <c r="A33" s="41">
        <v>4</v>
      </c>
      <c r="B33" s="28" t="str">
        <f>Output__7[[#This Row],[Company ID]]</f>
        <v>LOLC Development Finance PLC</v>
      </c>
      <c r="C33" s="41">
        <v>2021</v>
      </c>
      <c r="D33" s="15">
        <f>Sheet1__8[[#This Row],[GPR]]</f>
        <v>64.392455345121903</v>
      </c>
      <c r="E33" s="15">
        <f>Output__7[[#This Row],[D/E Ratio]]</f>
        <v>5.6055838701273002</v>
      </c>
      <c r="F33" s="15">
        <f>Sheet1__7[[#This Row],[D/A Ratio]]</f>
        <v>0.8486129281436664</v>
      </c>
      <c r="G33" s="15">
        <f>IC!G13</f>
        <v>1.1650322743956461</v>
      </c>
      <c r="H33" s="15">
        <f>GR!H8</f>
        <v>3.0767356082693764</v>
      </c>
    </row>
    <row r="34" spans="1:8" ht="15.6" x14ac:dyDescent="0.3">
      <c r="A34" s="41">
        <v>4</v>
      </c>
      <c r="B34" s="28" t="str">
        <f>Output__7[[#This Row],[Company ID]]</f>
        <v>LOLC Development Finance PLC</v>
      </c>
      <c r="C34" s="26">
        <v>2020</v>
      </c>
      <c r="D34" s="15">
        <f>Sheet1__8[[#This Row],[GPR]]</f>
        <v>62.61508107100925</v>
      </c>
      <c r="E34" s="15">
        <f>Output__7[[#This Row],[D/E Ratio]]</f>
        <v>5.9192778847149228</v>
      </c>
      <c r="F34" s="15">
        <f>Sheet1__7[[#This Row],[D/A Ratio]]</f>
        <v>0.85547624814880507</v>
      </c>
      <c r="G34" s="15">
        <f>IC!J13</f>
        <v>1.1114125442337499</v>
      </c>
      <c r="H34" s="15">
        <f>GR!H9</f>
        <v>1.9551087654046126</v>
      </c>
    </row>
    <row r="35" spans="1:8" ht="15.6" x14ac:dyDescent="0.3">
      <c r="A35" s="41">
        <v>4</v>
      </c>
      <c r="B35" s="28" t="str">
        <f>Output__7[[#This Row],[Company ID]]</f>
        <v>LOLC Development Finance PLC</v>
      </c>
      <c r="C35" s="41">
        <v>2019</v>
      </c>
      <c r="D35" s="15">
        <f>Sheet1__8[[#This Row],[GPR]]</f>
        <v>67.253303211268289</v>
      </c>
      <c r="E35" s="15">
        <f>Output__7[[#This Row],[D/E Ratio]]</f>
        <v>4.4079905824657377</v>
      </c>
      <c r="F35" s="15">
        <f>Sheet1__7[[#This Row],[D/A Ratio]]</f>
        <v>0.81508843538997877</v>
      </c>
      <c r="G35" s="15">
        <f>IC!M13</f>
        <v>0.89573780777001411</v>
      </c>
      <c r="H35" s="15">
        <f>GR!H10</f>
        <v>1.6166831078494832</v>
      </c>
    </row>
    <row r="36" spans="1:8" ht="15.6" x14ac:dyDescent="0.3">
      <c r="A36" s="41">
        <v>4</v>
      </c>
      <c r="B36" s="28" t="str">
        <f>Output__7[[#This Row],[Company ID]]</f>
        <v>LOLC Development Finance PLC</v>
      </c>
      <c r="C36" s="26">
        <v>2018</v>
      </c>
      <c r="D36" s="15">
        <f>Sheet1__8[[#This Row],[GPR]]</f>
        <v>65.715117102008392</v>
      </c>
      <c r="E36" s="15">
        <f>Output__7[[#This Row],[D/E Ratio]]</f>
        <v>4.8371125641070707</v>
      </c>
      <c r="F36" s="15">
        <f>Sheet1__7[[#This Row],[D/A Ratio]]</f>
        <v>0.82868241977221924</v>
      </c>
      <c r="G36" s="15">
        <f>IC!P13</f>
        <v>1.3897638010372375</v>
      </c>
      <c r="H36" s="15">
        <f>GR!H11</f>
        <v>1.4931650859097654</v>
      </c>
    </row>
    <row r="37" spans="1:8" ht="15.6" x14ac:dyDescent="0.3">
      <c r="A37" s="41">
        <v>4</v>
      </c>
      <c r="B37" s="28" t="str">
        <f>Output__7[[#This Row],[Company ID]]</f>
        <v>LOLC Development Finance PLC</v>
      </c>
      <c r="C37" s="41">
        <v>2017</v>
      </c>
      <c r="D37" s="15">
        <f>Sheet1__8[[#This Row],[GPR]]</f>
        <v>62.090815081958006</v>
      </c>
      <c r="E37" s="15">
        <f>Output__7[[#This Row],[D/E Ratio]]</f>
        <v>10.478011155210892</v>
      </c>
      <c r="F37" s="15">
        <f>Sheet1__7[[#This Row],[D/A Ratio]]</f>
        <v>0.91287689247923309</v>
      </c>
      <c r="G37" s="39">
        <f>IC!D23</f>
        <v>1.2771876738304957</v>
      </c>
      <c r="H37" s="15">
        <f>GR!H12</f>
        <v>9.5261288926139318E-2</v>
      </c>
    </row>
    <row r="38" spans="1:8" ht="15.6" x14ac:dyDescent="0.3">
      <c r="A38" s="41">
        <v>4</v>
      </c>
      <c r="B38" s="28" t="str">
        <f>Output__7[[#This Row],[Company ID]]</f>
        <v>LOLC Development Finance PLC</v>
      </c>
      <c r="C38" s="26">
        <v>2016</v>
      </c>
      <c r="D38" s="15">
        <f>Sheet1__8[[#This Row],[GPR]]</f>
        <v>68.808071155457071</v>
      </c>
      <c r="E38" s="15">
        <f>Output__7[[#This Row],[D/E Ratio]]</f>
        <v>9.5174066391490033</v>
      </c>
      <c r="F38" s="15">
        <f>Sheet1__7[[#This Row],[D/A Ratio]]</f>
        <v>0.90491952680828236</v>
      </c>
      <c r="G38" s="15">
        <f>IC!G23</f>
        <v>1.4480410763970741</v>
      </c>
      <c r="H38" s="15">
        <f>GR!H13</f>
        <v>0.1041584844549383</v>
      </c>
    </row>
    <row r="39" spans="1:8" ht="15.6" x14ac:dyDescent="0.3">
      <c r="A39" s="41">
        <v>4</v>
      </c>
      <c r="B39" s="28" t="str">
        <f>Output__7[[#This Row],[Company ID]]</f>
        <v>LOLC Development Finance PLC</v>
      </c>
      <c r="C39" s="41">
        <v>2015</v>
      </c>
      <c r="D39" s="15">
        <f>Sheet1__8[[#This Row],[GPR]]</f>
        <v>68.854066611192465</v>
      </c>
      <c r="E39" s="15">
        <f>Output__7[[#This Row],[D/E Ratio]]</f>
        <v>3.9205686758669342</v>
      </c>
      <c r="F39" s="15">
        <f>Sheet1__7[[#This Row],[D/A Ratio]]</f>
        <v>0.79677145755438228</v>
      </c>
      <c r="G39" s="15">
        <f>IC!J23</f>
        <v>2.2044418468731735</v>
      </c>
      <c r="H39" s="15">
        <f>GR!H14</f>
        <v>0.14664502130608986</v>
      </c>
    </row>
    <row r="40" spans="1:8" ht="15.6" x14ac:dyDescent="0.3">
      <c r="A40" s="41">
        <v>4</v>
      </c>
      <c r="B40" s="28" t="str">
        <f>Output__7[[#This Row],[Company ID]]</f>
        <v>LOLC Development Finance PLC</v>
      </c>
      <c r="C40" s="26">
        <v>2014</v>
      </c>
      <c r="D40" s="15">
        <f>Sheet1__8[[#This Row],[GPR]]</f>
        <v>78.962261943546125</v>
      </c>
      <c r="E40" s="15">
        <f>Output__7[[#This Row],[D/E Ratio]]</f>
        <v>2.3097960355914835</v>
      </c>
      <c r="F40" s="15">
        <f>Sheet1__7[[#This Row],[D/A Ratio]]</f>
        <v>0.69786657871161151</v>
      </c>
      <c r="G40" s="15">
        <f>IC!M23</f>
        <v>2.0709858323494688</v>
      </c>
      <c r="H40" s="15">
        <f>GR!H15</f>
        <v>0.1742070855831854</v>
      </c>
    </row>
    <row r="41" spans="1:8" ht="16.2" thickBot="1" x14ac:dyDescent="0.35">
      <c r="A41" s="16">
        <v>4</v>
      </c>
      <c r="B41" s="29" t="str">
        <f>Output__7[[#This Row],[Company ID]]</f>
        <v>LOLC Development Finance PLC</v>
      </c>
      <c r="C41" s="16">
        <v>2013</v>
      </c>
      <c r="D41" s="18">
        <f>Sheet1__8[[#This Row],[GPR]]</f>
        <v>83.312326295588534</v>
      </c>
      <c r="E41" s="18">
        <f>Output__7[[#This Row],[D/E Ratio]]</f>
        <v>0.26409593404788057</v>
      </c>
      <c r="F41" s="18">
        <f>Sheet1__7[[#This Row],[D/A Ratio]]</f>
        <v>0.20892080018182965</v>
      </c>
      <c r="G41" s="18">
        <f>IC!P23</f>
        <v>3.7374282234209151</v>
      </c>
      <c r="H41" s="18">
        <f>GR!H16</f>
        <v>0.16579215323632132</v>
      </c>
    </row>
    <row r="42" spans="1:8" ht="15.6" x14ac:dyDescent="0.3">
      <c r="A42" s="26">
        <v>5</v>
      </c>
      <c r="B42" s="61" t="str">
        <f>Output__7[[#This Row],[Company ID]]</f>
        <v>LOLC Finance PLC</v>
      </c>
      <c r="C42" s="26">
        <v>2022</v>
      </c>
      <c r="D42" s="30">
        <f>Sheet1__8[[#This Row],[GPR]]</f>
        <v>70.624690665791491</v>
      </c>
      <c r="E42" s="30">
        <f>Output__7[[#This Row],[D/E Ratio]]</f>
        <v>4.2224896340652194</v>
      </c>
      <c r="F42" s="30">
        <f>Sheet1__7[[#This Row],[D/A Ratio]]</f>
        <v>0.73183012136182113</v>
      </c>
      <c r="G42" s="62">
        <f>IC!D14</f>
        <v>2.9757963009094328</v>
      </c>
      <c r="H42" s="30">
        <f>GR!H17</f>
        <v>7.4080005264278581</v>
      </c>
    </row>
    <row r="43" spans="1:8" ht="15.6" x14ac:dyDescent="0.3">
      <c r="A43" s="26">
        <v>5</v>
      </c>
      <c r="B43" s="61" t="str">
        <f>Output__7[[#This Row],[Company ID]]</f>
        <v>LOLC Finance PLC</v>
      </c>
      <c r="C43" s="13">
        <v>2021</v>
      </c>
      <c r="D43" s="15">
        <f>Sheet1__8[[#This Row],[GPR]]</f>
        <v>63.133220334277887</v>
      </c>
      <c r="E43" s="15">
        <f>Output__7[[#This Row],[D/E Ratio]]</f>
        <v>4.5534656854477289</v>
      </c>
      <c r="F43" s="15">
        <f>Sheet1__7[[#This Row],[D/A Ratio]]</f>
        <v>0.78902572837431584</v>
      </c>
      <c r="G43" s="63">
        <f>IC!G14</f>
        <v>1.3612805389984084</v>
      </c>
      <c r="H43" s="15">
        <f>GR!H18</f>
        <v>7.486427958505991</v>
      </c>
    </row>
    <row r="44" spans="1:8" ht="15.6" x14ac:dyDescent="0.3">
      <c r="A44" s="26">
        <v>5</v>
      </c>
      <c r="B44" s="61" t="str">
        <f>Output__7[[#This Row],[Company ID]]</f>
        <v>LOLC Finance PLC</v>
      </c>
      <c r="C44" s="26">
        <v>2020</v>
      </c>
      <c r="D44" s="15">
        <f>Sheet1__8[[#This Row],[GPR]]</f>
        <v>49.526426490690717</v>
      </c>
      <c r="E44" s="15">
        <f>Output__7[[#This Row],[D/E Ratio]]</f>
        <v>5.132645438825576</v>
      </c>
      <c r="F44" s="15">
        <f>Sheet1__7[[#This Row],[D/A Ratio]]</f>
        <v>0.83693823326732164</v>
      </c>
      <c r="G44" s="63">
        <f>IC!J14</f>
        <v>1.2013173016710181</v>
      </c>
      <c r="H44" s="15">
        <f>GR!H19</f>
        <v>3.3683054542014741</v>
      </c>
    </row>
    <row r="45" spans="1:8" ht="15.6" x14ac:dyDescent="0.3">
      <c r="A45" s="26">
        <v>5</v>
      </c>
      <c r="B45" s="61" t="str">
        <f>Output__7[[#This Row],[Company ID]]</f>
        <v>LOLC Finance PLC</v>
      </c>
      <c r="C45" s="13">
        <v>2019</v>
      </c>
      <c r="D45" s="15">
        <f>Sheet1__8[[#This Row],[GPR]]</f>
        <v>51.031107243879013</v>
      </c>
      <c r="E45" s="15">
        <f>Output__7[[#This Row],[D/E Ratio]]</f>
        <v>8.2695211616151436</v>
      </c>
      <c r="F45" s="15">
        <f>Sheet1__7[[#This Row],[D/A Ratio]]</f>
        <v>0.89211956231989908</v>
      </c>
      <c r="G45" s="63">
        <f>IC!M14</f>
        <v>1.3402209311865341</v>
      </c>
      <c r="H45" s="15">
        <f>GR!H20</f>
        <v>1.1339002085074286</v>
      </c>
    </row>
    <row r="46" spans="1:8" ht="15.6" x14ac:dyDescent="0.3">
      <c r="A46" s="26">
        <v>5</v>
      </c>
      <c r="B46" s="61" t="str">
        <f>Output__7[[#This Row],[Company ID]]</f>
        <v>LOLC Finance PLC</v>
      </c>
      <c r="C46" s="26">
        <v>2018</v>
      </c>
      <c r="D46" s="15">
        <f>Sheet1__8[[#This Row],[GPR]]</f>
        <v>41.632254158066971</v>
      </c>
      <c r="E46" s="15">
        <f>Output__7[[#This Row],[D/E Ratio]]</f>
        <v>8.8169462029691725E-2</v>
      </c>
      <c r="F46" s="15">
        <f>Sheet1__7[[#This Row],[D/A Ratio]]</f>
        <v>0.91897451168567534</v>
      </c>
      <c r="G46" s="63">
        <f>IC!P14</f>
        <v>1.1499582510198434</v>
      </c>
      <c r="H46" s="15">
        <f>GR!H21</f>
        <v>3.5555734020465929E-3</v>
      </c>
    </row>
    <row r="47" spans="1:8" ht="15.6" x14ac:dyDescent="0.3">
      <c r="A47" s="26">
        <v>5</v>
      </c>
      <c r="B47" s="61" t="str">
        <f>Output__7[[#This Row],[Company ID]]</f>
        <v>LOLC Finance PLC</v>
      </c>
      <c r="C47" s="13">
        <v>2017</v>
      </c>
      <c r="D47" s="15">
        <f>Sheet1__8[[#This Row],[GPR]]</f>
        <v>38.023612251090135</v>
      </c>
      <c r="E47" s="15">
        <f>Output__7[[#This Row],[D/E Ratio]]</f>
        <v>10.121008432688896</v>
      </c>
      <c r="F47" s="15">
        <f>Sheet1__7[[#This Row],[D/A Ratio]]</f>
        <v>0.82518658812672785</v>
      </c>
      <c r="G47" s="63">
        <f>IC!D24</f>
        <v>1.1899402344284842</v>
      </c>
      <c r="H47" s="15">
        <f>GR!H22</f>
        <v>2.3533875168879983</v>
      </c>
    </row>
    <row r="48" spans="1:8" ht="15.6" x14ac:dyDescent="0.3">
      <c r="A48" s="26">
        <v>5</v>
      </c>
      <c r="B48" s="61" t="str">
        <f>Output__7[[#This Row],[Company ID]]</f>
        <v>LOLC Finance PLC</v>
      </c>
      <c r="C48" s="26">
        <v>2016</v>
      </c>
      <c r="D48" s="15">
        <f>Sheet1__8[[#This Row],[GPR]]</f>
        <v>50.527676019561049</v>
      </c>
      <c r="E48" s="15">
        <f>Output__7[[#This Row],[D/E Ratio]]</f>
        <v>11.000810596795048</v>
      </c>
      <c r="F48" s="15">
        <f>Sheet1__7[[#This Row],[D/A Ratio]]</f>
        <v>0.54235873236279175</v>
      </c>
      <c r="G48" s="63">
        <f>IC!G24</f>
        <v>2.7631077530273989</v>
      </c>
      <c r="H48" s="15">
        <f>GR!H23</f>
        <v>3.8021314738885521</v>
      </c>
    </row>
    <row r="49" spans="1:8" ht="15.6" x14ac:dyDescent="0.3">
      <c r="A49" s="26">
        <v>5</v>
      </c>
      <c r="B49" s="61" t="str">
        <f>Output__7[[#This Row],[Company ID]]</f>
        <v>LOLC Finance PLC</v>
      </c>
      <c r="C49" s="13">
        <v>2015</v>
      </c>
      <c r="D49" s="15">
        <f>Sheet1__8[[#This Row],[GPR]]</f>
        <v>54.206533007933722</v>
      </c>
      <c r="E49" s="15">
        <f>Output__7[[#This Row],[D/E Ratio]]</f>
        <v>7.4895336107943509</v>
      </c>
      <c r="F49" s="15">
        <f>Sheet1__7[[#This Row],[D/A Ratio]]</f>
        <v>1.644469665867327</v>
      </c>
      <c r="G49" s="63">
        <f>IC!J24</f>
        <v>1.4472095053924916</v>
      </c>
      <c r="H49" s="15">
        <f>GR!H24</f>
        <v>1.6219678886277387</v>
      </c>
    </row>
    <row r="50" spans="1:8" ht="15.6" x14ac:dyDescent="0.3">
      <c r="A50" s="26">
        <v>5</v>
      </c>
      <c r="B50" s="61" t="str">
        <f>Output__7[[#This Row],[Company ID]]</f>
        <v>LOLC Finance PLC</v>
      </c>
      <c r="C50" s="26">
        <v>2014</v>
      </c>
      <c r="D50" s="15">
        <f>Sheet1__8[[#This Row],[GPR]]</f>
        <v>41.751709838250328</v>
      </c>
      <c r="E50" s="15">
        <f>Output__7[[#This Row],[D/E Ratio]]</f>
        <v>7.1775600136558699</v>
      </c>
      <c r="F50" s="15">
        <f>Sheet1__7[[#This Row],[D/A Ratio]]</f>
        <v>0.87771413498279682</v>
      </c>
      <c r="G50" s="63">
        <f>IC!M24</f>
        <v>1.2354868675391166</v>
      </c>
      <c r="H50" s="15">
        <f>GR!H25</f>
        <v>0.24387096776681785</v>
      </c>
    </row>
    <row r="51" spans="1:8" ht="16.2" thickBot="1" x14ac:dyDescent="0.35">
      <c r="A51" s="16">
        <v>5</v>
      </c>
      <c r="B51" s="72" t="str">
        <f>Output__7[[#This Row],[Company ID]]</f>
        <v>LOLC Finance PLC</v>
      </c>
      <c r="C51" s="16">
        <v>2013</v>
      </c>
      <c r="D51" s="18">
        <f>Sheet1__8[[#This Row],[GPR]]</f>
        <v>41.462808401388088</v>
      </c>
      <c r="E51" s="18">
        <f>Output__7[[#This Row],[D/E Ratio]]</f>
        <v>7.7707776369146595</v>
      </c>
      <c r="F51" s="18">
        <f>Sheet1__7[[#This Row],[D/A Ratio]]</f>
        <v>0.88598502420228098</v>
      </c>
      <c r="G51" s="64">
        <f>IC!P24</f>
        <v>1.2010442661808236</v>
      </c>
      <c r="H51" s="18">
        <f>GR!H26</f>
        <v>0.77582586286921906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2F2F"/>
  </sheetPr>
  <dimension ref="A1:J51"/>
  <sheetViews>
    <sheetView topLeftCell="A25" workbookViewId="0">
      <selection activeCell="E11" sqref="E11"/>
    </sheetView>
  </sheetViews>
  <sheetFormatPr defaultRowHeight="14.4" x14ac:dyDescent="0.3"/>
  <cols>
    <col min="1" max="1" width="9.109375" bestFit="1" customWidth="1"/>
    <col min="2" max="2" width="27.109375" bestFit="1" customWidth="1"/>
    <col min="3" max="3" width="6.88671875" bestFit="1" customWidth="1"/>
    <col min="4" max="4" width="12.6640625" customWidth="1"/>
  </cols>
  <sheetData>
    <row r="1" spans="1:10" x14ac:dyDescent="0.3">
      <c r="A1" s="44" t="s">
        <v>1</v>
      </c>
      <c r="B1" s="11" t="s">
        <v>2</v>
      </c>
      <c r="C1" s="11" t="s">
        <v>0</v>
      </c>
      <c r="D1" s="45" t="s">
        <v>11</v>
      </c>
    </row>
    <row r="2" spans="1:10" ht="14.4" customHeight="1" x14ac:dyDescent="0.3">
      <c r="A2" s="46">
        <v>1</v>
      </c>
      <c r="B2" s="47" t="s">
        <v>3</v>
      </c>
      <c r="C2" s="5">
        <v>2022</v>
      </c>
      <c r="D2" s="51">
        <v>1.3831525051100031</v>
      </c>
      <c r="G2" s="73" t="s">
        <v>15</v>
      </c>
      <c r="H2" s="73"/>
      <c r="I2" s="73"/>
      <c r="J2" s="73"/>
    </row>
    <row r="3" spans="1:10" ht="14.4" customHeight="1" x14ac:dyDescent="0.3">
      <c r="A3" s="46">
        <v>1</v>
      </c>
      <c r="B3" s="47" t="s">
        <v>3</v>
      </c>
      <c r="C3" s="5">
        <v>2021</v>
      </c>
      <c r="D3" s="51">
        <v>1.8075847051991389</v>
      </c>
      <c r="G3" s="73"/>
      <c r="H3" s="73"/>
      <c r="I3" s="73"/>
      <c r="J3" s="73"/>
    </row>
    <row r="4" spans="1:10" ht="14.4" customHeight="1" x14ac:dyDescent="0.3">
      <c r="A4" s="46">
        <v>1</v>
      </c>
      <c r="B4" s="47" t="s">
        <v>3</v>
      </c>
      <c r="C4" s="5">
        <v>2020</v>
      </c>
      <c r="D4" s="51">
        <v>1.1280729506505502</v>
      </c>
    </row>
    <row r="5" spans="1:10" ht="14.4" customHeight="1" x14ac:dyDescent="0.3">
      <c r="A5" s="46">
        <v>1</v>
      </c>
      <c r="B5" s="47" t="s">
        <v>3</v>
      </c>
      <c r="C5" s="5">
        <v>2019</v>
      </c>
      <c r="D5" s="51">
        <v>1.1280729506505502</v>
      </c>
    </row>
    <row r="6" spans="1:10" ht="14.4" customHeight="1" x14ac:dyDescent="0.3">
      <c r="A6" s="46">
        <v>1</v>
      </c>
      <c r="B6" s="47" t="s">
        <v>3</v>
      </c>
      <c r="C6" s="5">
        <v>2018</v>
      </c>
      <c r="D6" s="51">
        <v>1.0464863005849432</v>
      </c>
    </row>
    <row r="7" spans="1:10" ht="14.4" customHeight="1" x14ac:dyDescent="0.3">
      <c r="A7" s="46">
        <v>1</v>
      </c>
      <c r="B7" s="47" t="s">
        <v>3</v>
      </c>
      <c r="C7" s="5">
        <v>2017</v>
      </c>
      <c r="D7" s="51">
        <v>0.74490960655071947</v>
      </c>
    </row>
    <row r="8" spans="1:10" ht="14.4" customHeight="1" x14ac:dyDescent="0.3">
      <c r="A8" s="46">
        <v>1</v>
      </c>
      <c r="B8" s="47" t="s">
        <v>3</v>
      </c>
      <c r="C8" s="5">
        <v>2016</v>
      </c>
      <c r="D8" s="51">
        <v>1.7798994341639698</v>
      </c>
    </row>
    <row r="9" spans="1:10" ht="14.4" customHeight="1" x14ac:dyDescent="0.3">
      <c r="A9" s="46">
        <v>1</v>
      </c>
      <c r="B9" s="47" t="s">
        <v>3</v>
      </c>
      <c r="C9" s="5">
        <v>2015</v>
      </c>
      <c r="D9" s="51">
        <v>0.89300029675376524</v>
      </c>
    </row>
    <row r="10" spans="1:10" ht="14.4" customHeight="1" x14ac:dyDescent="0.3">
      <c r="A10" s="46">
        <v>1</v>
      </c>
      <c r="B10" s="47" t="s">
        <v>3</v>
      </c>
      <c r="C10" s="5">
        <v>2014</v>
      </c>
      <c r="D10" s="51">
        <v>1.0312067606773694</v>
      </c>
    </row>
    <row r="11" spans="1:10" ht="14.4" customHeight="1" x14ac:dyDescent="0.3">
      <c r="A11" s="46">
        <v>1</v>
      </c>
      <c r="B11" s="47" t="s">
        <v>3</v>
      </c>
      <c r="C11" s="5">
        <v>2013</v>
      </c>
      <c r="D11" s="51">
        <v>1.1831078372979018</v>
      </c>
    </row>
    <row r="12" spans="1:10" ht="14.4" customHeight="1" x14ac:dyDescent="0.3">
      <c r="A12" s="46">
        <v>2</v>
      </c>
      <c r="B12" s="47" t="s">
        <v>4</v>
      </c>
      <c r="C12" s="5">
        <v>2022</v>
      </c>
      <c r="D12" s="51">
        <v>2.4181671910026017</v>
      </c>
    </row>
    <row r="13" spans="1:10" ht="14.4" customHeight="1" x14ac:dyDescent="0.3">
      <c r="A13" s="46">
        <v>2</v>
      </c>
      <c r="B13" s="47" t="s">
        <v>4</v>
      </c>
      <c r="C13" s="5">
        <v>2021</v>
      </c>
      <c r="D13" s="51">
        <v>2.7189185581117128</v>
      </c>
    </row>
    <row r="14" spans="1:10" ht="14.4" customHeight="1" x14ac:dyDescent="0.3">
      <c r="A14" s="46">
        <v>2</v>
      </c>
      <c r="B14" s="47" t="s">
        <v>4</v>
      </c>
      <c r="C14" s="5">
        <v>2020</v>
      </c>
      <c r="D14" s="51">
        <v>5.2844090512686392</v>
      </c>
    </row>
    <row r="15" spans="1:10" ht="14.4" customHeight="1" x14ac:dyDescent="0.3">
      <c r="A15" s="46">
        <v>2</v>
      </c>
      <c r="B15" s="47" t="s">
        <v>4</v>
      </c>
      <c r="C15" s="5">
        <v>2019</v>
      </c>
      <c r="D15" s="51">
        <v>5.8568190051611699</v>
      </c>
    </row>
    <row r="16" spans="1:10" ht="14.4" customHeight="1" x14ac:dyDescent="0.3">
      <c r="A16" s="46">
        <v>2</v>
      </c>
      <c r="B16" s="47" t="s">
        <v>4</v>
      </c>
      <c r="C16" s="5">
        <v>2018</v>
      </c>
      <c r="D16" s="51">
        <v>5.9958446066283511</v>
      </c>
    </row>
    <row r="17" spans="1:4" ht="14.4" customHeight="1" x14ac:dyDescent="0.3">
      <c r="A17" s="46">
        <v>2</v>
      </c>
      <c r="B17" s="47" t="s">
        <v>4</v>
      </c>
      <c r="C17" s="5">
        <v>2017</v>
      </c>
      <c r="D17" s="51">
        <v>5.245866707689574</v>
      </c>
    </row>
    <row r="18" spans="1:4" ht="14.4" customHeight="1" x14ac:dyDescent="0.3">
      <c r="A18" s="46">
        <v>2</v>
      </c>
      <c r="B18" s="47" t="s">
        <v>4</v>
      </c>
      <c r="C18" s="5">
        <v>2016</v>
      </c>
      <c r="D18" s="51">
        <v>4.7188331816098312</v>
      </c>
    </row>
    <row r="19" spans="1:4" ht="14.4" customHeight="1" x14ac:dyDescent="0.3">
      <c r="A19" s="46">
        <v>2</v>
      </c>
      <c r="B19" s="47" t="s">
        <v>4</v>
      </c>
      <c r="C19" s="5">
        <v>2015</v>
      </c>
      <c r="D19" s="51">
        <v>3.3667174238448432</v>
      </c>
    </row>
    <row r="20" spans="1:4" ht="14.4" customHeight="1" x14ac:dyDescent="0.3">
      <c r="A20" s="46">
        <v>2</v>
      </c>
      <c r="B20" s="47" t="s">
        <v>4</v>
      </c>
      <c r="C20" s="5">
        <v>2014</v>
      </c>
      <c r="D20" s="51">
        <v>2.9136340711613982</v>
      </c>
    </row>
    <row r="21" spans="1:4" ht="14.4" customHeight="1" x14ac:dyDescent="0.3">
      <c r="A21" s="46">
        <v>2</v>
      </c>
      <c r="B21" s="47" t="s">
        <v>4</v>
      </c>
      <c r="C21" s="5">
        <v>2013</v>
      </c>
      <c r="D21" s="51">
        <v>2.7576935042959452</v>
      </c>
    </row>
    <row r="22" spans="1:4" ht="14.4" customHeight="1" x14ac:dyDescent="0.3">
      <c r="A22" s="46">
        <v>3</v>
      </c>
      <c r="B22" s="47" t="s">
        <v>12</v>
      </c>
      <c r="C22" s="5">
        <v>2022</v>
      </c>
      <c r="D22" s="51">
        <v>1.1745357021082456</v>
      </c>
    </row>
    <row r="23" spans="1:4" ht="14.4" customHeight="1" x14ac:dyDescent="0.3">
      <c r="A23" s="46">
        <v>3</v>
      </c>
      <c r="B23" s="47" t="s">
        <v>12</v>
      </c>
      <c r="C23" s="5">
        <v>2021</v>
      </c>
      <c r="D23" s="51">
        <v>1.2091493856236957</v>
      </c>
    </row>
    <row r="24" spans="1:4" ht="14.4" customHeight="1" x14ac:dyDescent="0.3">
      <c r="A24" s="46">
        <v>3</v>
      </c>
      <c r="B24" s="47" t="s">
        <v>12</v>
      </c>
      <c r="C24" s="5">
        <v>2020</v>
      </c>
      <c r="D24" s="51">
        <v>0.54749667474085895</v>
      </c>
    </row>
    <row r="25" spans="1:4" ht="14.4" customHeight="1" x14ac:dyDescent="0.3">
      <c r="A25" s="46">
        <v>3</v>
      </c>
      <c r="B25" s="47" t="s">
        <v>12</v>
      </c>
      <c r="C25" s="5">
        <v>2019</v>
      </c>
      <c r="D25" s="51">
        <v>0.83877936213750781</v>
      </c>
    </row>
    <row r="26" spans="1:4" ht="14.4" customHeight="1" x14ac:dyDescent="0.3">
      <c r="A26" s="46">
        <v>3</v>
      </c>
      <c r="B26" s="47" t="s">
        <v>12</v>
      </c>
      <c r="C26" s="5">
        <v>2018</v>
      </c>
      <c r="D26" s="51">
        <v>0.43396649411822213</v>
      </c>
    </row>
    <row r="27" spans="1:4" ht="14.4" customHeight="1" x14ac:dyDescent="0.3">
      <c r="A27" s="46">
        <v>3</v>
      </c>
      <c r="B27" s="47" t="s">
        <v>12</v>
      </c>
      <c r="C27" s="5">
        <v>2017</v>
      </c>
      <c r="D27" s="51">
        <v>0.42680608731393638</v>
      </c>
    </row>
    <row r="28" spans="1:4" ht="14.4" customHeight="1" x14ac:dyDescent="0.3">
      <c r="A28" s="46">
        <v>3</v>
      </c>
      <c r="B28" s="47" t="s">
        <v>12</v>
      </c>
      <c r="C28" s="5">
        <v>2016</v>
      </c>
      <c r="D28" s="51">
        <v>0.43028851167556531</v>
      </c>
    </row>
    <row r="29" spans="1:4" ht="14.4" customHeight="1" x14ac:dyDescent="0.3">
      <c r="A29" s="46">
        <v>3</v>
      </c>
      <c r="B29" s="47" t="s">
        <v>12</v>
      </c>
      <c r="C29" s="5">
        <v>2015</v>
      </c>
      <c r="D29" s="51">
        <v>0.45316151109555169</v>
      </c>
    </row>
    <row r="30" spans="1:4" ht="14.4" customHeight="1" x14ac:dyDescent="0.3">
      <c r="A30" s="46">
        <v>3</v>
      </c>
      <c r="B30" s="47" t="s">
        <v>12</v>
      </c>
      <c r="C30" s="5">
        <v>2014</v>
      </c>
      <c r="D30" s="51">
        <v>0.50077486212021027</v>
      </c>
    </row>
    <row r="31" spans="1:4" ht="14.4" customHeight="1" x14ac:dyDescent="0.3">
      <c r="A31" s="46">
        <v>3</v>
      </c>
      <c r="B31" s="47" t="s">
        <v>12</v>
      </c>
      <c r="C31" s="5">
        <v>2013</v>
      </c>
      <c r="D31" s="51">
        <v>0.57254182198797232</v>
      </c>
    </row>
    <row r="32" spans="1:4" ht="14.4" customHeight="1" x14ac:dyDescent="0.3">
      <c r="A32" s="46">
        <v>4</v>
      </c>
      <c r="B32" s="47" t="s">
        <v>13</v>
      </c>
      <c r="C32" s="5">
        <v>2022</v>
      </c>
      <c r="D32" s="51">
        <v>5.9461310581743714</v>
      </c>
    </row>
    <row r="33" spans="1:4" ht="14.4" customHeight="1" x14ac:dyDescent="0.3">
      <c r="A33" s="46">
        <v>4</v>
      </c>
      <c r="B33" s="47" t="s">
        <v>13</v>
      </c>
      <c r="C33" s="5">
        <v>2021</v>
      </c>
      <c r="D33" s="51">
        <v>5.6055838701273002</v>
      </c>
    </row>
    <row r="34" spans="1:4" ht="14.4" customHeight="1" x14ac:dyDescent="0.3">
      <c r="A34" s="46">
        <v>4</v>
      </c>
      <c r="B34" s="47" t="s">
        <v>13</v>
      </c>
      <c r="C34" s="5">
        <v>2020</v>
      </c>
      <c r="D34" s="51">
        <v>5.9192778847149228</v>
      </c>
    </row>
    <row r="35" spans="1:4" ht="14.4" customHeight="1" x14ac:dyDescent="0.3">
      <c r="A35" s="46">
        <v>4</v>
      </c>
      <c r="B35" s="47" t="s">
        <v>13</v>
      </c>
      <c r="C35" s="5">
        <v>2019</v>
      </c>
      <c r="D35" s="51">
        <v>4.4079905824657377</v>
      </c>
    </row>
    <row r="36" spans="1:4" ht="14.4" customHeight="1" x14ac:dyDescent="0.3">
      <c r="A36" s="46">
        <v>4</v>
      </c>
      <c r="B36" s="47" t="s">
        <v>13</v>
      </c>
      <c r="C36" s="5">
        <v>2018</v>
      </c>
      <c r="D36" s="51">
        <v>4.8371125641070707</v>
      </c>
    </row>
    <row r="37" spans="1:4" ht="14.4" customHeight="1" x14ac:dyDescent="0.3">
      <c r="A37" s="46">
        <v>4</v>
      </c>
      <c r="B37" s="47" t="s">
        <v>13</v>
      </c>
      <c r="C37" s="5">
        <v>2017</v>
      </c>
      <c r="D37" s="51">
        <v>10.478011155210892</v>
      </c>
    </row>
    <row r="38" spans="1:4" ht="14.4" customHeight="1" x14ac:dyDescent="0.3">
      <c r="A38" s="46">
        <v>4</v>
      </c>
      <c r="B38" s="47" t="s">
        <v>13</v>
      </c>
      <c r="C38" s="5">
        <v>2016</v>
      </c>
      <c r="D38" s="51">
        <v>9.5174066391490033</v>
      </c>
    </row>
    <row r="39" spans="1:4" ht="14.4" customHeight="1" x14ac:dyDescent="0.3">
      <c r="A39" s="46">
        <v>4</v>
      </c>
      <c r="B39" s="47" t="s">
        <v>13</v>
      </c>
      <c r="C39" s="5">
        <v>2015</v>
      </c>
      <c r="D39" s="51">
        <v>3.9205686758669342</v>
      </c>
    </row>
    <row r="40" spans="1:4" ht="14.4" customHeight="1" x14ac:dyDescent="0.3">
      <c r="A40" s="46">
        <v>4</v>
      </c>
      <c r="B40" s="47" t="s">
        <v>13</v>
      </c>
      <c r="C40" s="5">
        <v>2014</v>
      </c>
      <c r="D40" s="51">
        <v>2.3097960355914835</v>
      </c>
    </row>
    <row r="41" spans="1:4" ht="14.4" customHeight="1" x14ac:dyDescent="0.3">
      <c r="A41" s="46">
        <v>4</v>
      </c>
      <c r="B41" s="47" t="s">
        <v>13</v>
      </c>
      <c r="C41" s="5">
        <v>2013</v>
      </c>
      <c r="D41" s="51">
        <v>0.26409593404788057</v>
      </c>
    </row>
    <row r="42" spans="1:4" ht="14.4" customHeight="1" x14ac:dyDescent="0.3">
      <c r="A42" s="46">
        <v>5</v>
      </c>
      <c r="B42" s="47" t="s">
        <v>5</v>
      </c>
      <c r="C42" s="5">
        <v>2022</v>
      </c>
      <c r="D42" s="51">
        <v>4.2224896340652194</v>
      </c>
    </row>
    <row r="43" spans="1:4" ht="14.4" customHeight="1" x14ac:dyDescent="0.3">
      <c r="A43" s="46">
        <v>5</v>
      </c>
      <c r="B43" s="47" t="s">
        <v>5</v>
      </c>
      <c r="C43" s="5">
        <v>2021</v>
      </c>
      <c r="D43" s="51">
        <v>4.5534656854477289</v>
      </c>
    </row>
    <row r="44" spans="1:4" ht="14.4" customHeight="1" x14ac:dyDescent="0.3">
      <c r="A44" s="46">
        <v>5</v>
      </c>
      <c r="B44" s="47" t="s">
        <v>5</v>
      </c>
      <c r="C44" s="5">
        <v>2020</v>
      </c>
      <c r="D44" s="51">
        <v>5.132645438825576</v>
      </c>
    </row>
    <row r="45" spans="1:4" ht="14.4" customHeight="1" x14ac:dyDescent="0.3">
      <c r="A45" s="46">
        <v>5</v>
      </c>
      <c r="B45" s="47" t="s">
        <v>5</v>
      </c>
      <c r="C45" s="5">
        <v>2019</v>
      </c>
      <c r="D45" s="51">
        <v>8.2695211616151436</v>
      </c>
    </row>
    <row r="46" spans="1:4" ht="14.4" customHeight="1" x14ac:dyDescent="0.3">
      <c r="A46" s="46">
        <v>5</v>
      </c>
      <c r="B46" s="47" t="s">
        <v>5</v>
      </c>
      <c r="C46" s="5">
        <v>2018</v>
      </c>
      <c r="D46" s="51">
        <v>8.8169462029691725E-2</v>
      </c>
    </row>
    <row r="47" spans="1:4" ht="14.4" customHeight="1" x14ac:dyDescent="0.3">
      <c r="A47" s="46">
        <v>5</v>
      </c>
      <c r="B47" s="47" t="s">
        <v>5</v>
      </c>
      <c r="C47" s="5">
        <v>2017</v>
      </c>
      <c r="D47" s="51">
        <v>10.121008432688896</v>
      </c>
    </row>
    <row r="48" spans="1:4" ht="14.4" customHeight="1" x14ac:dyDescent="0.3">
      <c r="A48" s="46">
        <v>5</v>
      </c>
      <c r="B48" s="47" t="s">
        <v>5</v>
      </c>
      <c r="C48" s="5">
        <v>2016</v>
      </c>
      <c r="D48" s="51">
        <v>11.000810596795048</v>
      </c>
    </row>
    <row r="49" spans="1:4" ht="14.4" customHeight="1" x14ac:dyDescent="0.3">
      <c r="A49" s="46">
        <v>5</v>
      </c>
      <c r="B49" s="47" t="s">
        <v>5</v>
      </c>
      <c r="C49" s="5">
        <v>2015</v>
      </c>
      <c r="D49" s="51">
        <v>7.4895336107943509</v>
      </c>
    </row>
    <row r="50" spans="1:4" ht="14.4" customHeight="1" x14ac:dyDescent="0.3">
      <c r="A50" s="46">
        <v>5</v>
      </c>
      <c r="B50" s="47" t="s">
        <v>5</v>
      </c>
      <c r="C50" s="5">
        <v>2014</v>
      </c>
      <c r="D50" s="51">
        <v>7.1775600136558699</v>
      </c>
    </row>
    <row r="51" spans="1:4" ht="14.4" customHeight="1" x14ac:dyDescent="0.3">
      <c r="A51" s="48">
        <v>5</v>
      </c>
      <c r="B51" s="49" t="s">
        <v>5</v>
      </c>
      <c r="C51" s="50">
        <v>2013</v>
      </c>
      <c r="D51" s="52">
        <v>7.7707776369146595</v>
      </c>
    </row>
  </sheetData>
  <mergeCells count="1">
    <mergeCell ref="G2:J3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7"/>
  <sheetViews>
    <sheetView workbookViewId="0">
      <selection activeCell="E8" sqref="E8"/>
    </sheetView>
  </sheetViews>
  <sheetFormatPr defaultRowHeight="14.4" x14ac:dyDescent="0.3"/>
  <cols>
    <col min="1" max="1" width="9.109375" bestFit="1" customWidth="1"/>
    <col min="2" max="2" width="29.5546875" bestFit="1" customWidth="1"/>
    <col min="3" max="3" width="6.88671875" bestFit="1" customWidth="1"/>
    <col min="4" max="4" width="12" bestFit="1" customWidth="1"/>
  </cols>
  <sheetData>
    <row r="1" spans="1:11" x14ac:dyDescent="0.3">
      <c r="A1" s="65" t="s">
        <v>1</v>
      </c>
      <c r="B1" s="65" t="s">
        <v>2</v>
      </c>
      <c r="C1" s="65" t="s">
        <v>0</v>
      </c>
      <c r="D1" s="65" t="s">
        <v>10</v>
      </c>
      <c r="G1" s="74" t="s">
        <v>16</v>
      </c>
      <c r="H1" s="75"/>
      <c r="I1" s="75"/>
      <c r="J1" s="75"/>
      <c r="K1" s="75"/>
    </row>
    <row r="2" spans="1:11" x14ac:dyDescent="0.3">
      <c r="A2" s="5">
        <v>1</v>
      </c>
      <c r="B2" s="47" t="s">
        <v>3</v>
      </c>
      <c r="C2" s="5">
        <v>2022</v>
      </c>
      <c r="D2" s="6">
        <v>0.58038774360609313</v>
      </c>
      <c r="G2" s="75"/>
      <c r="H2" s="75"/>
      <c r="I2" s="75"/>
      <c r="J2" s="75"/>
      <c r="K2" s="75"/>
    </row>
    <row r="3" spans="1:11" x14ac:dyDescent="0.3">
      <c r="A3" s="5">
        <v>1</v>
      </c>
      <c r="B3" s="47" t="s">
        <v>3</v>
      </c>
      <c r="C3" s="5">
        <v>2021</v>
      </c>
      <c r="D3" s="6">
        <v>0.59843268745374356</v>
      </c>
    </row>
    <row r="4" spans="1:11" x14ac:dyDescent="0.3">
      <c r="A4" s="5">
        <v>1</v>
      </c>
      <c r="B4" s="47" t="s">
        <v>3</v>
      </c>
      <c r="C4" s="5">
        <v>2020</v>
      </c>
      <c r="D4" s="6">
        <v>0.64382196620882681</v>
      </c>
    </row>
    <row r="5" spans="1:11" x14ac:dyDescent="0.3">
      <c r="A5" s="5">
        <v>1</v>
      </c>
      <c r="B5" s="47" t="s">
        <v>3</v>
      </c>
      <c r="C5" s="5">
        <v>2019</v>
      </c>
      <c r="D5" s="6">
        <v>0.5300912970608922</v>
      </c>
    </row>
    <row r="6" spans="1:11" x14ac:dyDescent="0.3">
      <c r="A6" s="5">
        <v>1</v>
      </c>
      <c r="B6" s="47" t="s">
        <v>3</v>
      </c>
      <c r="C6" s="5">
        <v>2018</v>
      </c>
      <c r="D6" s="6">
        <v>0.51135758899819073</v>
      </c>
    </row>
    <row r="7" spans="1:11" x14ac:dyDescent="0.3">
      <c r="A7" s="5">
        <v>1</v>
      </c>
      <c r="B7" s="47" t="s">
        <v>3</v>
      </c>
      <c r="C7" s="5">
        <v>2017</v>
      </c>
      <c r="D7" s="6">
        <v>1.0557041475282138</v>
      </c>
    </row>
    <row r="8" spans="1:11" x14ac:dyDescent="0.3">
      <c r="A8" s="5">
        <v>1</v>
      </c>
      <c r="B8" s="47" t="s">
        <v>3</v>
      </c>
      <c r="C8" s="5">
        <v>2016</v>
      </c>
      <c r="D8" s="6">
        <v>1.0298967408798727</v>
      </c>
    </row>
    <row r="9" spans="1:11" x14ac:dyDescent="0.3">
      <c r="A9" s="5">
        <v>1</v>
      </c>
      <c r="B9" s="47" t="s">
        <v>3</v>
      </c>
      <c r="C9" s="5">
        <v>2015</v>
      </c>
      <c r="D9" s="6">
        <v>0.47173806485140962</v>
      </c>
    </row>
    <row r="10" spans="1:11" x14ac:dyDescent="0.3">
      <c r="A10" s="5">
        <v>1</v>
      </c>
      <c r="B10" s="47" t="s">
        <v>3</v>
      </c>
      <c r="C10" s="5">
        <v>2014</v>
      </c>
      <c r="D10" s="6">
        <v>1.0674925292690829</v>
      </c>
    </row>
    <row r="11" spans="1:11" x14ac:dyDescent="0.3">
      <c r="A11" s="5">
        <v>1</v>
      </c>
      <c r="B11" s="47" t="s">
        <v>3</v>
      </c>
      <c r="C11" s="5">
        <v>2013</v>
      </c>
      <c r="D11" s="6">
        <v>1.0479093838565758</v>
      </c>
    </row>
    <row r="12" spans="1:11" x14ac:dyDescent="0.3">
      <c r="A12" s="5">
        <v>2</v>
      </c>
      <c r="B12" s="47" t="s">
        <v>4</v>
      </c>
      <c r="C12" s="5">
        <v>2022</v>
      </c>
      <c r="D12" s="6">
        <v>0.70744555660348363</v>
      </c>
    </row>
    <row r="13" spans="1:11" x14ac:dyDescent="0.3">
      <c r="A13" s="5">
        <v>2</v>
      </c>
      <c r="B13" s="47" t="s">
        <v>4</v>
      </c>
      <c r="C13" s="5">
        <v>2021</v>
      </c>
      <c r="D13" s="6">
        <v>0.73110462507472829</v>
      </c>
    </row>
    <row r="14" spans="1:11" x14ac:dyDescent="0.3">
      <c r="A14" s="5">
        <v>2</v>
      </c>
      <c r="B14" s="47" t="s">
        <v>4</v>
      </c>
      <c r="C14" s="5">
        <v>2020</v>
      </c>
      <c r="D14" s="6">
        <v>0.84087604867189092</v>
      </c>
    </row>
    <row r="15" spans="1:11" x14ac:dyDescent="0.3">
      <c r="A15" s="5">
        <v>2</v>
      </c>
      <c r="B15" s="47" t="s">
        <v>4</v>
      </c>
      <c r="C15" s="5">
        <v>2019</v>
      </c>
      <c r="D15" s="6">
        <v>0.85415977886432559</v>
      </c>
    </row>
    <row r="16" spans="1:11" x14ac:dyDescent="0.3">
      <c r="A16" s="5">
        <v>2</v>
      </c>
      <c r="B16" s="47" t="s">
        <v>4</v>
      </c>
      <c r="C16" s="5">
        <v>2018</v>
      </c>
      <c r="D16" s="6">
        <v>0.85705800282462963</v>
      </c>
    </row>
    <row r="17" spans="1:4" x14ac:dyDescent="0.3">
      <c r="A17" s="5">
        <v>2</v>
      </c>
      <c r="B17" s="47" t="s">
        <v>4</v>
      </c>
      <c r="C17" s="5">
        <v>2017</v>
      </c>
      <c r="D17" s="6">
        <v>0.83989411769404976</v>
      </c>
    </row>
    <row r="18" spans="1:4" x14ac:dyDescent="0.3">
      <c r="A18" s="5">
        <v>2</v>
      </c>
      <c r="B18" s="47" t="s">
        <v>4</v>
      </c>
      <c r="C18" s="5">
        <v>2016</v>
      </c>
      <c r="D18" s="6">
        <v>0.8251391554459534</v>
      </c>
    </row>
    <row r="19" spans="1:4" x14ac:dyDescent="0.3">
      <c r="A19" s="5">
        <v>2</v>
      </c>
      <c r="B19" s="47" t="s">
        <v>4</v>
      </c>
      <c r="C19" s="5">
        <v>2015</v>
      </c>
      <c r="D19" s="6">
        <v>0.49745209202920126</v>
      </c>
    </row>
    <row r="20" spans="1:4" x14ac:dyDescent="0.3">
      <c r="A20" s="5">
        <v>2</v>
      </c>
      <c r="B20" s="47" t="s">
        <v>4</v>
      </c>
      <c r="C20" s="5">
        <v>2014</v>
      </c>
      <c r="D20" s="6">
        <v>0.53360398075739912</v>
      </c>
    </row>
    <row r="21" spans="1:4" x14ac:dyDescent="0.3">
      <c r="A21" s="5">
        <v>2</v>
      </c>
      <c r="B21" s="47" t="s">
        <v>4</v>
      </c>
      <c r="C21" s="5">
        <v>2013</v>
      </c>
      <c r="D21" s="6">
        <v>0.73387930685225922</v>
      </c>
    </row>
    <row r="22" spans="1:4" x14ac:dyDescent="0.3">
      <c r="A22" s="5">
        <v>3</v>
      </c>
      <c r="B22" s="47" t="s">
        <v>12</v>
      </c>
      <c r="C22" s="5">
        <v>2022</v>
      </c>
      <c r="D22" s="6">
        <v>0.54013171683937644</v>
      </c>
    </row>
    <row r="23" spans="1:4" x14ac:dyDescent="0.3">
      <c r="A23" s="5">
        <v>3</v>
      </c>
      <c r="B23" s="47" t="s">
        <v>12</v>
      </c>
      <c r="C23" s="5">
        <v>2021</v>
      </c>
      <c r="D23" s="6">
        <v>0.54733708525660607</v>
      </c>
    </row>
    <row r="24" spans="1:4" x14ac:dyDescent="0.3">
      <c r="A24" s="5">
        <v>3</v>
      </c>
      <c r="B24" s="47" t="s">
        <v>12</v>
      </c>
      <c r="C24" s="5">
        <v>2020</v>
      </c>
      <c r="D24" s="6">
        <v>0.44220803718107426</v>
      </c>
    </row>
    <row r="25" spans="1:4" x14ac:dyDescent="0.3">
      <c r="A25" s="5">
        <v>3</v>
      </c>
      <c r="B25" s="47" t="s">
        <v>12</v>
      </c>
      <c r="C25" s="5">
        <v>2019</v>
      </c>
      <c r="D25" s="6">
        <v>0.36679273852984234</v>
      </c>
    </row>
    <row r="26" spans="1:4" x14ac:dyDescent="0.3">
      <c r="A26" s="5">
        <v>3</v>
      </c>
      <c r="B26" s="47" t="s">
        <v>12</v>
      </c>
      <c r="C26" s="5">
        <v>2018</v>
      </c>
      <c r="D26" s="6">
        <v>0.30263363607047022</v>
      </c>
    </row>
    <row r="27" spans="1:4" x14ac:dyDescent="0.3">
      <c r="A27" s="5">
        <v>3</v>
      </c>
      <c r="B27" s="47" t="s">
        <v>12</v>
      </c>
      <c r="C27" s="5">
        <v>2017</v>
      </c>
      <c r="D27" s="6">
        <v>1.1979726121551462</v>
      </c>
    </row>
    <row r="28" spans="1:4" x14ac:dyDescent="0.3">
      <c r="A28" s="5">
        <v>3</v>
      </c>
      <c r="B28" s="47" t="s">
        <v>12</v>
      </c>
      <c r="C28" s="5">
        <v>2016</v>
      </c>
      <c r="D28" s="6">
        <v>1.2015116484740611</v>
      </c>
    </row>
    <row r="29" spans="1:4" x14ac:dyDescent="0.3">
      <c r="A29" s="5">
        <v>3</v>
      </c>
      <c r="B29" s="47" t="s">
        <v>12</v>
      </c>
      <c r="C29" s="5">
        <v>2015</v>
      </c>
      <c r="D29" s="6">
        <v>0.31184524750721554</v>
      </c>
    </row>
    <row r="30" spans="1:4" x14ac:dyDescent="0.3">
      <c r="A30" s="5">
        <v>3</v>
      </c>
      <c r="B30" s="47" t="s">
        <v>12</v>
      </c>
      <c r="C30" s="5">
        <v>2014</v>
      </c>
      <c r="D30" s="6">
        <v>0.33367753869007627</v>
      </c>
    </row>
    <row r="31" spans="1:4" x14ac:dyDescent="0.3">
      <c r="A31" s="5">
        <v>3</v>
      </c>
      <c r="B31" s="47" t="s">
        <v>12</v>
      </c>
      <c r="C31" s="5">
        <v>2013</v>
      </c>
      <c r="D31" s="6">
        <v>0.73387930685225922</v>
      </c>
    </row>
    <row r="32" spans="1:4" x14ac:dyDescent="0.3">
      <c r="A32" s="5">
        <v>4</v>
      </c>
      <c r="B32" s="47" t="s">
        <v>13</v>
      </c>
      <c r="C32" s="5">
        <v>2022</v>
      </c>
      <c r="D32" s="6">
        <v>0.85603496513023947</v>
      </c>
    </row>
    <row r="33" spans="1:4" x14ac:dyDescent="0.3">
      <c r="A33" s="5">
        <v>4</v>
      </c>
      <c r="B33" s="47" t="s">
        <v>13</v>
      </c>
      <c r="C33" s="5">
        <v>2021</v>
      </c>
      <c r="D33" s="6">
        <v>0.8486129281436664</v>
      </c>
    </row>
    <row r="34" spans="1:4" x14ac:dyDescent="0.3">
      <c r="A34" s="5">
        <v>4</v>
      </c>
      <c r="B34" s="47" t="s">
        <v>13</v>
      </c>
      <c r="C34" s="5">
        <v>2020</v>
      </c>
      <c r="D34" s="6">
        <v>0.85547624814880507</v>
      </c>
    </row>
    <row r="35" spans="1:4" x14ac:dyDescent="0.3">
      <c r="A35" s="5">
        <v>4</v>
      </c>
      <c r="B35" s="47" t="s">
        <v>13</v>
      </c>
      <c r="C35" s="5">
        <v>2019</v>
      </c>
      <c r="D35" s="6">
        <v>0.81508843538997877</v>
      </c>
    </row>
    <row r="36" spans="1:4" x14ac:dyDescent="0.3">
      <c r="A36" s="5">
        <v>4</v>
      </c>
      <c r="B36" s="47" t="s">
        <v>13</v>
      </c>
      <c r="C36" s="5">
        <v>2018</v>
      </c>
      <c r="D36" s="6">
        <v>0.82868241977221924</v>
      </c>
    </row>
    <row r="37" spans="1:4" x14ac:dyDescent="0.3">
      <c r="A37" s="5">
        <v>4</v>
      </c>
      <c r="B37" s="47" t="s">
        <v>13</v>
      </c>
      <c r="C37" s="5">
        <v>2017</v>
      </c>
      <c r="D37" s="6">
        <v>0.91287689247923309</v>
      </c>
    </row>
    <row r="38" spans="1:4" x14ac:dyDescent="0.3">
      <c r="A38" s="5">
        <v>4</v>
      </c>
      <c r="B38" s="47" t="s">
        <v>13</v>
      </c>
      <c r="C38" s="5">
        <v>2016</v>
      </c>
      <c r="D38" s="6">
        <v>0.90491952680828236</v>
      </c>
    </row>
    <row r="39" spans="1:4" x14ac:dyDescent="0.3">
      <c r="A39" s="5">
        <v>4</v>
      </c>
      <c r="B39" s="47" t="s">
        <v>13</v>
      </c>
      <c r="C39" s="5">
        <v>2015</v>
      </c>
      <c r="D39" s="6">
        <v>0.79677145755438228</v>
      </c>
    </row>
    <row r="40" spans="1:4" x14ac:dyDescent="0.3">
      <c r="A40" s="5">
        <v>4</v>
      </c>
      <c r="B40" s="47" t="s">
        <v>13</v>
      </c>
      <c r="C40" s="5">
        <v>2014</v>
      </c>
      <c r="D40" s="6">
        <v>0.69786657871161151</v>
      </c>
    </row>
    <row r="41" spans="1:4" x14ac:dyDescent="0.3">
      <c r="A41" s="5">
        <v>4</v>
      </c>
      <c r="B41" s="47" t="s">
        <v>13</v>
      </c>
      <c r="C41" s="5">
        <v>2013</v>
      </c>
      <c r="D41" s="6">
        <v>0.20892080018182965</v>
      </c>
    </row>
    <row r="42" spans="1:4" x14ac:dyDescent="0.3">
      <c r="A42" s="5">
        <v>5</v>
      </c>
      <c r="B42" s="47" t="s">
        <v>5</v>
      </c>
      <c r="C42" s="5">
        <v>2022</v>
      </c>
      <c r="D42" s="6">
        <v>0.73183012136182113</v>
      </c>
    </row>
    <row r="43" spans="1:4" x14ac:dyDescent="0.3">
      <c r="A43" s="5">
        <v>5</v>
      </c>
      <c r="B43" s="47" t="s">
        <v>5</v>
      </c>
      <c r="C43" s="5">
        <v>2021</v>
      </c>
      <c r="D43" s="6">
        <v>0.78902572837431584</v>
      </c>
    </row>
    <row r="44" spans="1:4" x14ac:dyDescent="0.3">
      <c r="A44" s="5">
        <v>5</v>
      </c>
      <c r="B44" s="47" t="s">
        <v>5</v>
      </c>
      <c r="C44" s="5">
        <v>2020</v>
      </c>
      <c r="D44" s="6">
        <v>0.83693823326732164</v>
      </c>
    </row>
    <row r="45" spans="1:4" x14ac:dyDescent="0.3">
      <c r="A45" s="5">
        <v>5</v>
      </c>
      <c r="B45" s="47" t="s">
        <v>5</v>
      </c>
      <c r="C45" s="5">
        <v>2019</v>
      </c>
      <c r="D45" s="6">
        <v>0.89211956231989908</v>
      </c>
    </row>
    <row r="46" spans="1:4" x14ac:dyDescent="0.3">
      <c r="A46" s="5">
        <v>5</v>
      </c>
      <c r="B46" s="47" t="s">
        <v>5</v>
      </c>
      <c r="C46" s="5">
        <v>2018</v>
      </c>
      <c r="D46" s="6">
        <v>0.91897451168567534</v>
      </c>
    </row>
    <row r="47" spans="1:4" x14ac:dyDescent="0.3">
      <c r="A47" s="5">
        <v>5</v>
      </c>
      <c r="B47" s="47" t="s">
        <v>5</v>
      </c>
      <c r="C47" s="5">
        <v>2017</v>
      </c>
      <c r="D47" s="6">
        <v>0.82518658812672785</v>
      </c>
    </row>
    <row r="48" spans="1:4" x14ac:dyDescent="0.3">
      <c r="A48" s="5">
        <v>5</v>
      </c>
      <c r="B48" s="47" t="s">
        <v>5</v>
      </c>
      <c r="C48" s="5">
        <v>2016</v>
      </c>
      <c r="D48" s="6">
        <v>0.54235873236279175</v>
      </c>
    </row>
    <row r="49" spans="1:4" x14ac:dyDescent="0.3">
      <c r="A49" s="5">
        <v>5</v>
      </c>
      <c r="B49" s="47" t="s">
        <v>5</v>
      </c>
      <c r="C49" s="5">
        <v>2015</v>
      </c>
      <c r="D49" s="6">
        <v>1.644469665867327</v>
      </c>
    </row>
    <row r="50" spans="1:4" x14ac:dyDescent="0.3">
      <c r="A50" s="5">
        <v>5</v>
      </c>
      <c r="B50" s="47" t="s">
        <v>5</v>
      </c>
      <c r="C50" s="5">
        <v>2014</v>
      </c>
      <c r="D50" s="6">
        <v>0.87771413498279682</v>
      </c>
    </row>
    <row r="51" spans="1:4" x14ac:dyDescent="0.3">
      <c r="A51" s="5">
        <v>5</v>
      </c>
      <c r="B51" s="47" t="s">
        <v>5</v>
      </c>
      <c r="C51" s="5">
        <v>2013</v>
      </c>
      <c r="D51" s="6">
        <v>0.88598502420228098</v>
      </c>
    </row>
    <row r="52" spans="1:4" x14ac:dyDescent="0.3">
      <c r="B52" s="43"/>
    </row>
    <row r="53" spans="1:4" x14ac:dyDescent="0.3">
      <c r="B53" s="43"/>
    </row>
    <row r="54" spans="1:4" x14ac:dyDescent="0.3">
      <c r="B54" s="43"/>
    </row>
    <row r="55" spans="1:4" x14ac:dyDescent="0.3">
      <c r="B55" s="43"/>
    </row>
    <row r="56" spans="1:4" x14ac:dyDescent="0.3">
      <c r="B56" s="43"/>
    </row>
    <row r="57" spans="1:4" x14ac:dyDescent="0.3">
      <c r="B57" s="43"/>
    </row>
    <row r="58" spans="1:4" x14ac:dyDescent="0.3">
      <c r="B58" s="43"/>
    </row>
    <row r="59" spans="1:4" x14ac:dyDescent="0.3">
      <c r="B59" s="43"/>
    </row>
    <row r="60" spans="1:4" x14ac:dyDescent="0.3">
      <c r="B60" s="43"/>
    </row>
    <row r="61" spans="1:4" x14ac:dyDescent="0.3">
      <c r="B61" s="43"/>
    </row>
    <row r="62" spans="1:4" x14ac:dyDescent="0.3">
      <c r="B62" s="43"/>
    </row>
    <row r="63" spans="1:4" x14ac:dyDescent="0.3">
      <c r="B63" s="43"/>
    </row>
    <row r="64" spans="1:4" x14ac:dyDescent="0.3">
      <c r="B64" s="43"/>
    </row>
    <row r="65" spans="2:2" x14ac:dyDescent="0.3">
      <c r="B65" s="43"/>
    </row>
    <row r="66" spans="2:2" x14ac:dyDescent="0.3">
      <c r="B66" s="43"/>
    </row>
    <row r="67" spans="2:2" x14ac:dyDescent="0.3">
      <c r="B67" s="43"/>
    </row>
    <row r="68" spans="2:2" x14ac:dyDescent="0.3">
      <c r="B68" s="43"/>
    </row>
    <row r="69" spans="2:2" x14ac:dyDescent="0.3">
      <c r="B69" s="43"/>
    </row>
    <row r="70" spans="2:2" x14ac:dyDescent="0.3">
      <c r="B70" s="43"/>
    </row>
    <row r="71" spans="2:2" x14ac:dyDescent="0.3">
      <c r="B71" s="43"/>
    </row>
    <row r="72" spans="2:2" x14ac:dyDescent="0.3">
      <c r="B72" s="43"/>
    </row>
    <row r="73" spans="2:2" x14ac:dyDescent="0.3">
      <c r="B73" s="43"/>
    </row>
    <row r="74" spans="2:2" x14ac:dyDescent="0.3">
      <c r="B74" s="43"/>
    </row>
    <row r="75" spans="2:2" x14ac:dyDescent="0.3">
      <c r="B75" s="43"/>
    </row>
    <row r="76" spans="2:2" x14ac:dyDescent="0.3">
      <c r="B76" s="43"/>
    </row>
    <row r="77" spans="2:2" x14ac:dyDescent="0.3">
      <c r="B77" s="43"/>
    </row>
    <row r="78" spans="2:2" x14ac:dyDescent="0.3">
      <c r="B78" s="43"/>
    </row>
    <row r="79" spans="2:2" x14ac:dyDescent="0.3">
      <c r="B79" s="43"/>
    </row>
    <row r="80" spans="2:2" x14ac:dyDescent="0.3">
      <c r="B80" s="43"/>
    </row>
    <row r="81" spans="2:2" x14ac:dyDescent="0.3">
      <c r="B81" s="43"/>
    </row>
    <row r="82" spans="2:2" x14ac:dyDescent="0.3">
      <c r="B82" s="43"/>
    </row>
    <row r="83" spans="2:2" x14ac:dyDescent="0.3">
      <c r="B83" s="43"/>
    </row>
    <row r="84" spans="2:2" x14ac:dyDescent="0.3">
      <c r="B84" s="43"/>
    </row>
    <row r="85" spans="2:2" x14ac:dyDescent="0.3">
      <c r="B85" s="43"/>
    </row>
    <row r="86" spans="2:2" x14ac:dyDescent="0.3">
      <c r="B86" s="43"/>
    </row>
    <row r="87" spans="2:2" x14ac:dyDescent="0.3">
      <c r="B87" s="43"/>
    </row>
    <row r="88" spans="2:2" x14ac:dyDescent="0.3">
      <c r="B88" s="43"/>
    </row>
    <row r="89" spans="2:2" x14ac:dyDescent="0.3">
      <c r="B89" s="43"/>
    </row>
    <row r="90" spans="2:2" x14ac:dyDescent="0.3">
      <c r="B90" s="43"/>
    </row>
    <row r="91" spans="2:2" x14ac:dyDescent="0.3">
      <c r="B91" s="43"/>
    </row>
    <row r="92" spans="2:2" x14ac:dyDescent="0.3">
      <c r="B92" s="43"/>
    </row>
    <row r="93" spans="2:2" x14ac:dyDescent="0.3">
      <c r="B93" s="43"/>
    </row>
    <row r="94" spans="2:2" x14ac:dyDescent="0.3">
      <c r="B94" s="43"/>
    </row>
    <row r="95" spans="2:2" x14ac:dyDescent="0.3">
      <c r="B95" s="43"/>
    </row>
    <row r="96" spans="2:2" x14ac:dyDescent="0.3">
      <c r="B96" s="43"/>
    </row>
    <row r="97" spans="2:2" x14ac:dyDescent="0.3">
      <c r="B97" s="43"/>
    </row>
    <row r="98" spans="2:2" x14ac:dyDescent="0.3">
      <c r="B98" s="43"/>
    </row>
    <row r="99" spans="2:2" x14ac:dyDescent="0.3">
      <c r="B99" s="43"/>
    </row>
    <row r="100" spans="2:2" x14ac:dyDescent="0.3">
      <c r="B100" s="43"/>
    </row>
    <row r="101" spans="2:2" x14ac:dyDescent="0.3">
      <c r="B101" s="43"/>
    </row>
    <row r="102" spans="2:2" x14ac:dyDescent="0.3">
      <c r="B102" s="43"/>
    </row>
    <row r="103" spans="2:2" x14ac:dyDescent="0.3">
      <c r="B103" s="43"/>
    </row>
    <row r="104" spans="2:2" x14ac:dyDescent="0.3">
      <c r="B104" s="43"/>
    </row>
    <row r="105" spans="2:2" x14ac:dyDescent="0.3">
      <c r="B105" s="43"/>
    </row>
    <row r="106" spans="2:2" x14ac:dyDescent="0.3">
      <c r="B106" s="43"/>
    </row>
    <row r="107" spans="2:2" x14ac:dyDescent="0.3">
      <c r="B107" s="43"/>
    </row>
  </sheetData>
  <mergeCells count="1">
    <mergeCell ref="G1:K2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24"/>
  <sheetViews>
    <sheetView topLeftCell="F7" workbookViewId="0">
      <selection activeCell="A10" sqref="A10:XFD10"/>
    </sheetView>
  </sheetViews>
  <sheetFormatPr defaultRowHeight="14.4" x14ac:dyDescent="0.3"/>
  <cols>
    <col min="1" max="1" width="26.6640625" customWidth="1"/>
    <col min="2" max="2" width="13.5546875" customWidth="1"/>
    <col min="3" max="3" width="13.77734375" customWidth="1"/>
    <col min="5" max="5" width="13.33203125" customWidth="1"/>
    <col min="6" max="6" width="15.77734375" customWidth="1"/>
    <col min="7" max="7" width="8.88671875" customWidth="1"/>
    <col min="8" max="8" width="16.88671875" customWidth="1"/>
    <col min="9" max="9" width="13.77734375" customWidth="1"/>
    <col min="11" max="11" width="14.5546875" customWidth="1"/>
    <col min="12" max="12" width="13.88671875" customWidth="1"/>
    <col min="14" max="14" width="13.21875" customWidth="1"/>
    <col min="15" max="15" width="11.33203125" customWidth="1"/>
  </cols>
  <sheetData>
    <row r="1" spans="1:16" x14ac:dyDescent="0.3">
      <c r="G1" s="77" t="s">
        <v>28</v>
      </c>
      <c r="H1" s="77"/>
      <c r="I1" s="77"/>
      <c r="J1" s="77"/>
      <c r="K1" s="77"/>
      <c r="L1" s="77"/>
    </row>
    <row r="2" spans="1:16" x14ac:dyDescent="0.3">
      <c r="G2" s="77"/>
      <c r="H2" s="77"/>
      <c r="I2" s="77"/>
      <c r="J2" s="77"/>
      <c r="K2" s="77"/>
      <c r="L2" s="77"/>
    </row>
    <row r="8" spans="1:16" x14ac:dyDescent="0.3">
      <c r="A8" s="78" t="s">
        <v>18</v>
      </c>
      <c r="B8" s="76" t="s">
        <v>19</v>
      </c>
      <c r="C8" s="76"/>
      <c r="D8" s="76"/>
      <c r="E8" s="79" t="s">
        <v>20</v>
      </c>
      <c r="F8" s="80"/>
      <c r="G8" s="81"/>
      <c r="H8" s="76" t="s">
        <v>21</v>
      </c>
      <c r="I8" s="76"/>
      <c r="J8" s="76"/>
      <c r="K8" s="76" t="s">
        <v>22</v>
      </c>
      <c r="L8" s="76"/>
      <c r="M8" s="76"/>
      <c r="N8" s="76" t="s">
        <v>23</v>
      </c>
      <c r="O8" s="76"/>
      <c r="P8" s="76"/>
    </row>
    <row r="9" spans="1:16" ht="42" x14ac:dyDescent="0.3">
      <c r="A9" s="78"/>
      <c r="B9" s="31" t="s">
        <v>24</v>
      </c>
      <c r="C9" s="31" t="s">
        <v>25</v>
      </c>
      <c r="D9" s="36" t="s">
        <v>26</v>
      </c>
      <c r="E9" s="31" t="s">
        <v>24</v>
      </c>
      <c r="F9" s="31" t="s">
        <v>25</v>
      </c>
      <c r="G9" s="36" t="s">
        <v>26</v>
      </c>
      <c r="H9" s="31" t="s">
        <v>24</v>
      </c>
      <c r="I9" s="31" t="s">
        <v>25</v>
      </c>
      <c r="J9" s="36" t="s">
        <v>26</v>
      </c>
      <c r="K9" s="31" t="s">
        <v>24</v>
      </c>
      <c r="L9" s="31" t="s">
        <v>25</v>
      </c>
      <c r="M9" s="36" t="s">
        <v>26</v>
      </c>
      <c r="N9" s="31" t="s">
        <v>24</v>
      </c>
      <c r="O9" s="31" t="s">
        <v>25</v>
      </c>
      <c r="P9" s="36" t="s">
        <v>26</v>
      </c>
    </row>
    <row r="10" spans="1:16" x14ac:dyDescent="0.3">
      <c r="A10" s="34" t="s">
        <v>3</v>
      </c>
      <c r="B10" s="32">
        <f>85594957+310373+758251+194099</f>
        <v>86857680</v>
      </c>
      <c r="C10" s="32">
        <f>310373+758251+194099</f>
        <v>1262723</v>
      </c>
      <c r="D10" s="37">
        <f>B10/C10</f>
        <v>68.786012450870061</v>
      </c>
      <c r="E10" s="32">
        <f>16584946+94311+162099+110849</f>
        <v>16952205</v>
      </c>
      <c r="F10" s="32">
        <f>94311+162099+110849</f>
        <v>367259</v>
      </c>
      <c r="G10" s="37">
        <f>E10/F10</f>
        <v>46.158719051132849</v>
      </c>
      <c r="H10" s="32">
        <f>280102</f>
        <v>280102</v>
      </c>
      <c r="I10" s="32">
        <f>455321</f>
        <v>455321</v>
      </c>
      <c r="J10" s="37">
        <f>H10/I10</f>
        <v>0.61517478877539145</v>
      </c>
      <c r="K10" s="32">
        <f>3073235</f>
        <v>3073235</v>
      </c>
      <c r="L10" s="32">
        <f>239693</f>
        <v>239693</v>
      </c>
      <c r="M10" s="37">
        <f>K10/L10</f>
        <v>12.82154672852357</v>
      </c>
      <c r="N10" s="32">
        <f>1669069+168879+19121+36029</f>
        <v>1893098</v>
      </c>
      <c r="O10" s="32">
        <f>168879+19121+36029</f>
        <v>224029</v>
      </c>
      <c r="P10" s="37">
        <f>N10/O10</f>
        <v>8.4502363533292559</v>
      </c>
    </row>
    <row r="11" spans="1:16" x14ac:dyDescent="0.3">
      <c r="A11" s="35" t="s">
        <v>4</v>
      </c>
      <c r="B11" s="33">
        <f>83553187+55669361</f>
        <v>139222548</v>
      </c>
      <c r="C11" s="33">
        <v>55669361</v>
      </c>
      <c r="D11" s="37">
        <f t="shared" ref="D11:D14" si="0">B11/C11</f>
        <v>2.5008828105643248</v>
      </c>
      <c r="E11" s="33">
        <f>57134695+49318958</f>
        <v>106453653</v>
      </c>
      <c r="F11" s="33">
        <v>49318958</v>
      </c>
      <c r="G11" s="37">
        <f>E11/F11</f>
        <v>2.1584732791799861</v>
      </c>
      <c r="H11" s="33">
        <f>3376128+54851694</f>
        <v>58227822</v>
      </c>
      <c r="I11" s="33">
        <v>54851694</v>
      </c>
      <c r="J11" s="37">
        <f t="shared" ref="J11:J14" si="1">H11/I11</f>
        <v>1.0615501136573831</v>
      </c>
      <c r="K11" s="33">
        <f>9549589+48640652</f>
        <v>58190241</v>
      </c>
      <c r="L11" s="33">
        <v>48640652</v>
      </c>
      <c r="M11" s="37">
        <f t="shared" ref="M11:M14" si="2">K11/L11</f>
        <v>1.1963293789729628</v>
      </c>
      <c r="N11" s="33">
        <f>24655819+58517709+24948470</f>
        <v>108121998</v>
      </c>
      <c r="O11" s="33">
        <f>58517709-24948470</f>
        <v>33569239</v>
      </c>
      <c r="P11" s="37">
        <f t="shared" ref="P11:P14" si="3">N11/O11</f>
        <v>3.2208653285229372</v>
      </c>
    </row>
    <row r="12" spans="1:16" x14ac:dyDescent="0.3">
      <c r="A12" s="35" t="s">
        <v>27</v>
      </c>
      <c r="B12" s="32">
        <f>27324493+5199990+1511437</f>
        <v>34035920</v>
      </c>
      <c r="C12" s="32">
        <f>5199990+1511437</f>
        <v>6711427</v>
      </c>
      <c r="D12" s="37">
        <f t="shared" si="0"/>
        <v>5.0713387778783856</v>
      </c>
      <c r="E12" s="33">
        <f>5445166+2891345+1503908</f>
        <v>9840419</v>
      </c>
      <c r="F12" s="33">
        <f>2891345+1503908</f>
        <v>4395253</v>
      </c>
      <c r="G12" s="37">
        <f>E12/F12</f>
        <v>2.2388743037090242</v>
      </c>
      <c r="H12" s="33">
        <f>12403058+3104511</f>
        <v>15507569</v>
      </c>
      <c r="I12" s="33">
        <v>3104511</v>
      </c>
      <c r="J12" s="37">
        <f t="shared" si="1"/>
        <v>4.9951728307614305</v>
      </c>
      <c r="K12" s="33">
        <f>18615510+1550188</f>
        <v>20165698</v>
      </c>
      <c r="L12" s="33">
        <v>1550188</v>
      </c>
      <c r="M12" s="37">
        <f t="shared" si="2"/>
        <v>13.008549930718081</v>
      </c>
      <c r="N12" s="33">
        <f>27634434+520797</f>
        <v>28155231</v>
      </c>
      <c r="O12" s="33">
        <v>520797</v>
      </c>
      <c r="P12" s="37">
        <f t="shared" si="3"/>
        <v>54.061814872205488</v>
      </c>
    </row>
    <row r="13" spans="1:16" ht="21" customHeight="1" x14ac:dyDescent="0.3">
      <c r="A13" s="35" t="s">
        <v>13</v>
      </c>
      <c r="B13" s="33">
        <f>562255+1383061</f>
        <v>1945316</v>
      </c>
      <c r="C13" s="33">
        <v>1383061</v>
      </c>
      <c r="D13" s="37">
        <f t="shared" si="0"/>
        <v>1.4065294300106792</v>
      </c>
      <c r="E13" s="33">
        <f>260784+1580200</f>
        <v>1840984</v>
      </c>
      <c r="F13" s="33">
        <v>1580200</v>
      </c>
      <c r="G13" s="37">
        <f>E13/F13</f>
        <v>1.1650322743956461</v>
      </c>
      <c r="H13" s="33">
        <f>176468+1583915</f>
        <v>1760383</v>
      </c>
      <c r="I13" s="33">
        <v>1583915</v>
      </c>
      <c r="J13" s="37">
        <f t="shared" si="1"/>
        <v>1.1114125442337499</v>
      </c>
      <c r="K13" s="33">
        <f>-139593+1338865</f>
        <v>1199272</v>
      </c>
      <c r="L13" s="33">
        <v>1338865</v>
      </c>
      <c r="M13" s="37">
        <f t="shared" si="2"/>
        <v>0.89573780777001411</v>
      </c>
      <c r="N13" s="33">
        <f>570721+1464274</f>
        <v>2034995</v>
      </c>
      <c r="O13" s="33">
        <v>1464274</v>
      </c>
      <c r="P13" s="37">
        <f t="shared" si="3"/>
        <v>1.3897638010372375</v>
      </c>
    </row>
    <row r="14" spans="1:16" x14ac:dyDescent="0.3">
      <c r="A14" s="35" t="s">
        <v>5</v>
      </c>
      <c r="B14" s="33">
        <f>17742633+8979991</f>
        <v>26722624</v>
      </c>
      <c r="C14" s="33">
        <v>8979991</v>
      </c>
      <c r="D14" s="37">
        <f t="shared" si="0"/>
        <v>2.9757963009094328</v>
      </c>
      <c r="E14" s="33">
        <f>4496783+12446790</f>
        <v>16943573</v>
      </c>
      <c r="F14" s="33">
        <v>12446790</v>
      </c>
      <c r="G14" s="37">
        <f>E14/F14</f>
        <v>1.3612805389984084</v>
      </c>
      <c r="H14" s="33">
        <f>3879659+19271364</f>
        <v>23151023</v>
      </c>
      <c r="I14" s="33">
        <v>19271364</v>
      </c>
      <c r="J14" s="37">
        <f t="shared" si="1"/>
        <v>1.2013173016710181</v>
      </c>
      <c r="K14" s="33">
        <f>7107812+20891754</f>
        <v>27999566</v>
      </c>
      <c r="L14" s="33">
        <v>20891754</v>
      </c>
      <c r="M14" s="37">
        <f t="shared" si="2"/>
        <v>1.3402209311865341</v>
      </c>
      <c r="N14" s="33">
        <f>2084740+13902136</f>
        <v>15986876</v>
      </c>
      <c r="O14" s="33">
        <v>13902136</v>
      </c>
      <c r="P14" s="37">
        <f t="shared" si="3"/>
        <v>1.1499582510198434</v>
      </c>
    </row>
    <row r="18" spans="1:16" x14ac:dyDescent="0.3">
      <c r="A18" s="78" t="s">
        <v>18</v>
      </c>
      <c r="B18" s="76" t="s">
        <v>31</v>
      </c>
      <c r="C18" s="76"/>
      <c r="D18" s="76"/>
      <c r="E18" s="76" t="s">
        <v>32</v>
      </c>
      <c r="F18" s="76"/>
      <c r="G18" s="76"/>
      <c r="H18" s="76" t="s">
        <v>33</v>
      </c>
      <c r="I18" s="76"/>
      <c r="J18" s="76"/>
      <c r="K18" s="76" t="s">
        <v>34</v>
      </c>
      <c r="L18" s="76"/>
      <c r="M18" s="76"/>
      <c r="N18" s="76" t="s">
        <v>35</v>
      </c>
      <c r="O18" s="76"/>
      <c r="P18" s="76"/>
    </row>
    <row r="19" spans="1:16" ht="42" x14ac:dyDescent="0.3">
      <c r="A19" s="78"/>
      <c r="B19" s="31" t="s">
        <v>24</v>
      </c>
      <c r="C19" s="31" t="s">
        <v>25</v>
      </c>
      <c r="D19" s="36" t="s">
        <v>26</v>
      </c>
      <c r="E19" s="31" t="s">
        <v>24</v>
      </c>
      <c r="F19" s="31" t="s">
        <v>25</v>
      </c>
      <c r="G19" s="36" t="s">
        <v>26</v>
      </c>
      <c r="H19" s="31" t="s">
        <v>24</v>
      </c>
      <c r="I19" s="31" t="s">
        <v>25</v>
      </c>
      <c r="J19" s="36" t="s">
        <v>26</v>
      </c>
      <c r="K19" s="31" t="s">
        <v>24</v>
      </c>
      <c r="L19" s="31" t="s">
        <v>25</v>
      </c>
      <c r="M19" s="36" t="s">
        <v>26</v>
      </c>
      <c r="N19" s="31" t="s">
        <v>24</v>
      </c>
      <c r="O19" s="31" t="s">
        <v>25</v>
      </c>
      <c r="P19" s="36" t="s">
        <v>26</v>
      </c>
    </row>
    <row r="20" spans="1:16" x14ac:dyDescent="0.3">
      <c r="A20" s="53" t="s">
        <v>3</v>
      </c>
      <c r="B20" s="32">
        <f>1692394074+115227650+48787133</f>
        <v>1856408857</v>
      </c>
      <c r="C20" s="32">
        <f>115227650+48787133</f>
        <v>164014783</v>
      </c>
      <c r="D20" s="37">
        <f>B20/C20</f>
        <v>11.318545944727434</v>
      </c>
      <c r="E20" s="32">
        <f>2047183544+91503879</f>
        <v>2138687423</v>
      </c>
      <c r="F20" s="32">
        <v>91503879</v>
      </c>
      <c r="G20" s="37">
        <f>E20/F20</f>
        <v>23.372642191485674</v>
      </c>
      <c r="H20" s="32">
        <f>1313957932+153953247</f>
        <v>1467911179</v>
      </c>
      <c r="I20" s="32">
        <v>153953247</v>
      </c>
      <c r="J20" s="37">
        <f>H20/I20</f>
        <v>9.5347854469090869</v>
      </c>
      <c r="K20" s="32">
        <f>1950895628+268400455</f>
        <v>2219296083</v>
      </c>
      <c r="L20" s="32">
        <v>268400455</v>
      </c>
      <c r="M20" s="37">
        <f>K20/L20</f>
        <v>8.2686003009942741</v>
      </c>
      <c r="N20" s="32">
        <f>1670313+226996</f>
        <v>1897309</v>
      </c>
      <c r="O20" s="32">
        <v>226996</v>
      </c>
      <c r="P20" s="37">
        <f>N20/O20</f>
        <v>8.3583367107790441</v>
      </c>
    </row>
    <row r="21" spans="1:16" x14ac:dyDescent="0.3">
      <c r="A21" s="54" t="s">
        <v>4</v>
      </c>
      <c r="B21" s="32">
        <f>24379065+33159212</f>
        <v>57538277</v>
      </c>
      <c r="C21" s="32">
        <v>33159212</v>
      </c>
      <c r="D21" s="37">
        <f t="shared" ref="D21:D24" si="4">B21/C21</f>
        <v>1.7352124350844043</v>
      </c>
      <c r="E21" s="32">
        <f>11857914+18850392</f>
        <v>30708306</v>
      </c>
      <c r="F21" s="32">
        <v>18850392</v>
      </c>
      <c r="G21" s="37">
        <f t="shared" ref="G21:G24" si="5">E21/F21</f>
        <v>1.6290539740499825</v>
      </c>
      <c r="H21" s="32">
        <f>8150354+12508370</f>
        <v>20658724</v>
      </c>
      <c r="I21" s="32">
        <v>12508370</v>
      </c>
      <c r="J21" s="37">
        <f t="shared" ref="J21:J22" si="6">H21/I21</f>
        <v>1.651592013987434</v>
      </c>
      <c r="K21" s="32">
        <f>4514999+16408947</f>
        <v>20923946</v>
      </c>
      <c r="L21" s="32">
        <v>16408947</v>
      </c>
      <c r="M21" s="37">
        <f t="shared" ref="M21:M22" si="7">K21/L21</f>
        <v>1.2751547067584532</v>
      </c>
      <c r="N21" s="32">
        <f>3706171+14527658</f>
        <v>18233829</v>
      </c>
      <c r="O21" s="32">
        <v>14527658</v>
      </c>
      <c r="P21" s="37">
        <f t="shared" ref="P21:P22" si="8">N21/O21</f>
        <v>1.2551113882223823</v>
      </c>
    </row>
    <row r="22" spans="1:16" x14ac:dyDescent="0.3">
      <c r="A22" s="54" t="s">
        <v>27</v>
      </c>
      <c r="B22" s="32">
        <f>22887833+436278</f>
        <v>23324111</v>
      </c>
      <c r="C22" s="32">
        <v>436278</v>
      </c>
      <c r="D22" s="37">
        <f t="shared" si="4"/>
        <v>53.461579543318713</v>
      </c>
      <c r="E22" s="32">
        <f>19198231+993802</f>
        <v>20192033</v>
      </c>
      <c r="F22" s="32">
        <v>993802</v>
      </c>
      <c r="G22" s="37">
        <f t="shared" si="5"/>
        <v>20.317963739255909</v>
      </c>
      <c r="H22" s="32">
        <f>19198231+668174</f>
        <v>19866405</v>
      </c>
      <c r="I22" s="32">
        <v>668174</v>
      </c>
      <c r="J22" s="37">
        <f t="shared" si="6"/>
        <v>29.732382582979884</v>
      </c>
      <c r="K22" s="32">
        <f>15320433+1217006</f>
        <v>16537439</v>
      </c>
      <c r="L22" s="32">
        <v>1217006</v>
      </c>
      <c r="M22" s="37">
        <f t="shared" si="7"/>
        <v>13.588625692888943</v>
      </c>
      <c r="N22" s="32">
        <f>15775165+1081218</f>
        <v>16856383</v>
      </c>
      <c r="O22" s="32">
        <v>1081218</v>
      </c>
      <c r="P22" s="37">
        <f t="shared" si="8"/>
        <v>15.590179778731024</v>
      </c>
    </row>
    <row r="23" spans="1:16" ht="28.8" x14ac:dyDescent="0.3">
      <c r="A23" s="55" t="s">
        <v>13</v>
      </c>
      <c r="B23" s="56">
        <f>355792+1283578</f>
        <v>1639370</v>
      </c>
      <c r="C23" s="56">
        <v>1283578</v>
      </c>
      <c r="D23" s="59">
        <f t="shared" si="4"/>
        <v>1.2771876738304957</v>
      </c>
      <c r="E23" s="56">
        <f>260384+581161</f>
        <v>841545</v>
      </c>
      <c r="F23" s="58">
        <v>581161</v>
      </c>
      <c r="G23" s="59">
        <f t="shared" si="5"/>
        <v>1.4480410763970741</v>
      </c>
      <c r="H23" s="56">
        <f>195776+162545</f>
        <v>358321</v>
      </c>
      <c r="I23" s="56">
        <v>162545</v>
      </c>
      <c r="J23" s="59">
        <f>H23/I23</f>
        <v>2.2044418468731735</v>
      </c>
      <c r="K23" s="56">
        <f>21771+20328</f>
        <v>42099</v>
      </c>
      <c r="L23" s="56">
        <v>20328</v>
      </c>
      <c r="M23" s="59">
        <f>K23/L23</f>
        <v>2.0709858323494688</v>
      </c>
      <c r="N23" s="56">
        <f>31464+11494</f>
        <v>42958</v>
      </c>
      <c r="O23" s="56">
        <v>11494</v>
      </c>
      <c r="P23" s="59">
        <f>N23/O23</f>
        <v>3.7374282234209151</v>
      </c>
    </row>
    <row r="24" spans="1:16" x14ac:dyDescent="0.3">
      <c r="A24" s="54" t="s">
        <v>5</v>
      </c>
      <c r="B24" s="32">
        <f>2176577+11459273</f>
        <v>13635850</v>
      </c>
      <c r="C24" s="32">
        <v>11459273</v>
      </c>
      <c r="D24" s="37">
        <f t="shared" si="4"/>
        <v>1.1899402344284842</v>
      </c>
      <c r="E24" s="32">
        <f>11459273+6499474</f>
        <v>17958747</v>
      </c>
      <c r="F24" s="32">
        <v>6499474</v>
      </c>
      <c r="G24" s="37">
        <f t="shared" si="5"/>
        <v>2.7631077530273989</v>
      </c>
      <c r="H24" s="32">
        <f>2226348+4978311</f>
        <v>7204659</v>
      </c>
      <c r="I24" s="32">
        <v>4978311</v>
      </c>
      <c r="J24" s="37">
        <f>H24/I24</f>
        <v>1.4472095053924916</v>
      </c>
      <c r="K24" s="32">
        <f>1442423+6125280</f>
        <v>7567703</v>
      </c>
      <c r="L24" s="32">
        <v>6125280</v>
      </c>
      <c r="M24" s="37">
        <f>K24/L24</f>
        <v>1.2354868675391166</v>
      </c>
      <c r="N24" s="32">
        <f>995339+4950845</f>
        <v>5946184</v>
      </c>
      <c r="O24" s="32">
        <v>4950845</v>
      </c>
      <c r="P24" s="37">
        <f>N24/O24</f>
        <v>1.2010442661808236</v>
      </c>
    </row>
  </sheetData>
  <mergeCells count="13">
    <mergeCell ref="N18:P18"/>
    <mergeCell ref="A18:A19"/>
    <mergeCell ref="B18:D18"/>
    <mergeCell ref="E18:G18"/>
    <mergeCell ref="H18:J18"/>
    <mergeCell ref="K18:M18"/>
    <mergeCell ref="N8:P8"/>
    <mergeCell ref="G1:L2"/>
    <mergeCell ref="A8:A9"/>
    <mergeCell ref="B8:D8"/>
    <mergeCell ref="E8:G8"/>
    <mergeCell ref="H8:J8"/>
    <mergeCell ref="K8:M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O26"/>
  <sheetViews>
    <sheetView workbookViewId="0">
      <selection activeCell="G22" sqref="G22"/>
    </sheetView>
  </sheetViews>
  <sheetFormatPr defaultRowHeight="14.4" x14ac:dyDescent="0.3"/>
  <cols>
    <col min="1" max="1" width="9.109375" bestFit="1" customWidth="1"/>
    <col min="2" max="2" width="27.109375" bestFit="1" customWidth="1"/>
    <col min="3" max="3" width="6.88671875" bestFit="1" customWidth="1"/>
    <col min="4" max="4" width="14.44140625" bestFit="1" customWidth="1"/>
    <col min="5" max="5" width="11.109375" bestFit="1" customWidth="1"/>
    <col min="6" max="6" width="27.109375" bestFit="1" customWidth="1"/>
    <col min="8" max="8" width="16.5546875" bestFit="1" customWidth="1"/>
  </cols>
  <sheetData>
    <row r="1" spans="1:15" x14ac:dyDescent="0.3">
      <c r="A1" s="66" t="s">
        <v>1</v>
      </c>
      <c r="B1" s="67" t="s">
        <v>2</v>
      </c>
      <c r="C1" s="67" t="s">
        <v>0</v>
      </c>
      <c r="D1" s="67" t="s">
        <v>30</v>
      </c>
      <c r="E1" s="67" t="s">
        <v>36</v>
      </c>
      <c r="F1" s="67" t="s">
        <v>37</v>
      </c>
      <c r="G1" s="67" t="s">
        <v>38</v>
      </c>
      <c r="H1" s="68" t="s">
        <v>39</v>
      </c>
      <c r="J1" s="82" t="s">
        <v>17</v>
      </c>
      <c r="K1" s="82"/>
      <c r="L1" s="82"/>
      <c r="M1" s="82"/>
      <c r="N1" s="82"/>
      <c r="O1" s="82"/>
    </row>
    <row r="2" spans="1:15" x14ac:dyDescent="0.3">
      <c r="A2" s="46">
        <v>1</v>
      </c>
      <c r="B2" s="47" t="s">
        <v>3</v>
      </c>
      <c r="C2" s="5">
        <v>2022</v>
      </c>
      <c r="D2" s="6">
        <v>7.0878774572873698E-2</v>
      </c>
      <c r="E2" s="5">
        <v>1</v>
      </c>
      <c r="F2" s="47" t="s">
        <v>3</v>
      </c>
      <c r="G2" s="5">
        <v>2017</v>
      </c>
      <c r="H2" s="51">
        <v>7.2527741034937199E-2</v>
      </c>
      <c r="J2" s="82"/>
      <c r="K2" s="82"/>
      <c r="L2" s="82"/>
      <c r="M2" s="82"/>
      <c r="N2" s="82"/>
      <c r="O2" s="82"/>
    </row>
    <row r="3" spans="1:15" x14ac:dyDescent="0.3">
      <c r="A3" s="46">
        <v>1</v>
      </c>
      <c r="B3" s="47" t="s">
        <v>3</v>
      </c>
      <c r="C3" s="5">
        <v>2021</v>
      </c>
      <c r="D3" s="6">
        <v>1.6287165816052618</v>
      </c>
      <c r="E3" s="5">
        <v>1</v>
      </c>
      <c r="F3" s="47" t="s">
        <v>3</v>
      </c>
      <c r="G3" s="5">
        <v>2016</v>
      </c>
      <c r="H3" s="51">
        <v>4.9799198837647586E-2</v>
      </c>
    </row>
    <row r="4" spans="1:15" x14ac:dyDescent="0.3">
      <c r="A4" s="46">
        <v>1</v>
      </c>
      <c r="B4" s="47" t="s">
        <v>3</v>
      </c>
      <c r="C4" s="5">
        <v>2020</v>
      </c>
      <c r="D4" s="6">
        <v>0.69827325777792915</v>
      </c>
      <c r="E4" s="5">
        <v>1</v>
      </c>
      <c r="F4" s="47" t="s">
        <v>3</v>
      </c>
      <c r="G4" s="5">
        <v>2015</v>
      </c>
      <c r="H4" s="51">
        <v>1.4979216270519893E-2</v>
      </c>
    </row>
    <row r="5" spans="1:15" x14ac:dyDescent="0.3">
      <c r="A5" s="46">
        <v>1</v>
      </c>
      <c r="B5" s="47" t="s">
        <v>3</v>
      </c>
      <c r="C5" s="5">
        <v>2019</v>
      </c>
      <c r="D5" s="6">
        <v>0.16761645596653851</v>
      </c>
      <c r="E5" s="5">
        <v>1</v>
      </c>
      <c r="F5" s="47" t="s">
        <v>3</v>
      </c>
      <c r="G5" s="5">
        <v>2014</v>
      </c>
      <c r="H5" s="51">
        <v>0.16458077259842804</v>
      </c>
    </row>
    <row r="6" spans="1:15" x14ac:dyDescent="0.3">
      <c r="A6" s="46">
        <v>1</v>
      </c>
      <c r="B6" s="47" t="s">
        <v>3</v>
      </c>
      <c r="C6" s="5">
        <v>2018</v>
      </c>
      <c r="D6" s="6">
        <v>0.63200276345000905</v>
      </c>
      <c r="E6" s="5">
        <v>1</v>
      </c>
      <c r="F6" s="47" t="s">
        <v>3</v>
      </c>
      <c r="G6" s="5">
        <v>2013</v>
      </c>
      <c r="H6" s="51">
        <v>0.14154153420881974</v>
      </c>
    </row>
    <row r="7" spans="1:15" x14ac:dyDescent="0.3">
      <c r="A7" s="46">
        <v>2</v>
      </c>
      <c r="B7" s="47" t="s">
        <v>4</v>
      </c>
      <c r="C7" s="5">
        <v>2022</v>
      </c>
      <c r="D7" s="6">
        <v>1.0770596320238874</v>
      </c>
      <c r="E7" s="5">
        <v>2</v>
      </c>
      <c r="F7" s="47" t="s">
        <v>4</v>
      </c>
      <c r="G7" s="5">
        <v>2017</v>
      </c>
      <c r="H7" s="51">
        <v>2.7822004511837681</v>
      </c>
    </row>
    <row r="8" spans="1:15" x14ac:dyDescent="0.3">
      <c r="A8" s="46">
        <v>2</v>
      </c>
      <c r="B8" s="47" t="s">
        <v>4</v>
      </c>
      <c r="C8" s="5">
        <v>2021</v>
      </c>
      <c r="D8" s="6">
        <v>1.3002889152905228</v>
      </c>
      <c r="E8" s="5">
        <v>2</v>
      </c>
      <c r="F8" s="47" t="s">
        <v>4</v>
      </c>
      <c r="G8" s="5">
        <v>2016</v>
      </c>
      <c r="H8" s="51">
        <v>3.0767356082693764</v>
      </c>
    </row>
    <row r="9" spans="1:15" x14ac:dyDescent="0.3">
      <c r="A9" s="46">
        <v>2</v>
      </c>
      <c r="B9" s="47" t="s">
        <v>4</v>
      </c>
      <c r="C9" s="5">
        <v>2020</v>
      </c>
      <c r="D9" s="6">
        <v>1.4765257478973541</v>
      </c>
      <c r="E9" s="5">
        <v>2</v>
      </c>
      <c r="F9" s="47" t="s">
        <v>4</v>
      </c>
      <c r="G9" s="5">
        <v>2015</v>
      </c>
      <c r="H9" s="51">
        <v>1.9551087654046126</v>
      </c>
    </row>
    <row r="10" spans="1:15" x14ac:dyDescent="0.3">
      <c r="A10" s="46">
        <v>2</v>
      </c>
      <c r="B10" s="47" t="s">
        <v>4</v>
      </c>
      <c r="C10" s="5">
        <v>2019</v>
      </c>
      <c r="D10" s="6">
        <v>2.4762854975979391</v>
      </c>
      <c r="E10" s="5">
        <v>2</v>
      </c>
      <c r="F10" s="47" t="s">
        <v>4</v>
      </c>
      <c r="G10" s="5">
        <v>2014</v>
      </c>
      <c r="H10" s="51">
        <v>1.6166831078494832</v>
      </c>
    </row>
    <row r="11" spans="1:15" x14ac:dyDescent="0.3">
      <c r="A11" s="46">
        <v>2</v>
      </c>
      <c r="B11" s="47" t="s">
        <v>4</v>
      </c>
      <c r="C11" s="5">
        <v>2018</v>
      </c>
      <c r="D11" s="6">
        <v>2.8211998709634107</v>
      </c>
      <c r="E11" s="5">
        <v>2</v>
      </c>
      <c r="F11" s="47" t="s">
        <v>4</v>
      </c>
      <c r="G11" s="5">
        <v>2013</v>
      </c>
      <c r="H11" s="51">
        <v>1.4931650859097654</v>
      </c>
    </row>
    <row r="12" spans="1:15" x14ac:dyDescent="0.3">
      <c r="A12" s="46">
        <v>3</v>
      </c>
      <c r="B12" s="47" t="s">
        <v>12</v>
      </c>
      <c r="C12" s="5">
        <v>2022</v>
      </c>
      <c r="D12" s="6">
        <v>0.25909319990219803</v>
      </c>
      <c r="E12" s="5">
        <v>3</v>
      </c>
      <c r="F12" s="47" t="s">
        <v>12</v>
      </c>
      <c r="G12" s="5">
        <v>2017</v>
      </c>
      <c r="H12" s="51">
        <v>9.5261288926139318E-2</v>
      </c>
    </row>
    <row r="13" spans="1:15" x14ac:dyDescent="0.3">
      <c r="A13" s="46">
        <v>3</v>
      </c>
      <c r="B13" s="47" t="s">
        <v>12</v>
      </c>
      <c r="C13" s="5">
        <v>2021</v>
      </c>
      <c r="D13" s="6">
        <v>0.55714227621777801</v>
      </c>
      <c r="E13" s="5">
        <v>3</v>
      </c>
      <c r="F13" s="47" t="s">
        <v>12</v>
      </c>
      <c r="G13" s="5">
        <v>2016</v>
      </c>
      <c r="H13" s="51">
        <v>0.1041584844549383</v>
      </c>
    </row>
    <row r="14" spans="1:15" x14ac:dyDescent="0.3">
      <c r="A14" s="46">
        <v>3</v>
      </c>
      <c r="B14" s="47" t="s">
        <v>12</v>
      </c>
      <c r="C14" s="5">
        <v>2020</v>
      </c>
      <c r="D14" s="6">
        <v>0.25412862118523299</v>
      </c>
      <c r="E14" s="5">
        <v>3</v>
      </c>
      <c r="F14" s="47" t="s">
        <v>12</v>
      </c>
      <c r="G14" s="5">
        <v>2015</v>
      </c>
      <c r="H14" s="51">
        <v>0.14664502130608986</v>
      </c>
    </row>
    <row r="15" spans="1:15" x14ac:dyDescent="0.3">
      <c r="A15" s="46">
        <v>3</v>
      </c>
      <c r="B15" s="47" t="s">
        <v>12</v>
      </c>
      <c r="C15" s="5">
        <v>2019</v>
      </c>
      <c r="D15" s="6">
        <v>0.14984068761619376</v>
      </c>
      <c r="E15" s="5">
        <v>3</v>
      </c>
      <c r="F15" s="47" t="s">
        <v>12</v>
      </c>
      <c r="G15" s="5">
        <v>2014</v>
      </c>
      <c r="H15" s="51">
        <v>0.1742070855831854</v>
      </c>
    </row>
    <row r="16" spans="1:15" x14ac:dyDescent="0.3">
      <c r="A16" s="46">
        <v>3</v>
      </c>
      <c r="B16" s="47" t="s">
        <v>12</v>
      </c>
      <c r="C16" s="5">
        <v>2018</v>
      </c>
      <c r="D16" s="6">
        <v>0.23073998239624927</v>
      </c>
      <c r="E16" s="5">
        <v>3</v>
      </c>
      <c r="F16" s="47" t="s">
        <v>12</v>
      </c>
      <c r="G16" s="5">
        <v>2013</v>
      </c>
      <c r="H16" s="51">
        <v>0.16579215323632132</v>
      </c>
    </row>
    <row r="17" spans="1:8" x14ac:dyDescent="0.3">
      <c r="A17" s="46">
        <v>4</v>
      </c>
      <c r="B17" s="47" t="s">
        <v>13</v>
      </c>
      <c r="C17" s="5">
        <v>2022</v>
      </c>
      <c r="D17" s="6">
        <v>0.1640212089190764</v>
      </c>
      <c r="E17" s="5">
        <v>4</v>
      </c>
      <c r="F17" s="47" t="s">
        <v>13</v>
      </c>
      <c r="G17" s="5">
        <v>2017</v>
      </c>
      <c r="H17" s="51">
        <v>7.4080005264278581</v>
      </c>
    </row>
    <row r="18" spans="1:8" x14ac:dyDescent="0.3">
      <c r="A18" s="46">
        <v>4</v>
      </c>
      <c r="B18" s="47" t="s">
        <v>13</v>
      </c>
      <c r="C18" s="5">
        <v>2021</v>
      </c>
      <c r="D18" s="6">
        <v>3.421188976988363</v>
      </c>
      <c r="E18" s="5">
        <v>4</v>
      </c>
      <c r="F18" s="47" t="s">
        <v>13</v>
      </c>
      <c r="G18" s="5">
        <v>2016</v>
      </c>
      <c r="H18" s="51">
        <v>7.486427958505991</v>
      </c>
    </row>
    <row r="19" spans="1:8" x14ac:dyDescent="0.3">
      <c r="A19" s="46">
        <v>4</v>
      </c>
      <c r="B19" s="47" t="s">
        <v>13</v>
      </c>
      <c r="C19" s="5">
        <v>2020</v>
      </c>
      <c r="D19" s="6">
        <v>3.8016950326746239</v>
      </c>
      <c r="E19" s="5">
        <v>4</v>
      </c>
      <c r="F19" s="47" t="s">
        <v>13</v>
      </c>
      <c r="G19" s="5">
        <v>2015</v>
      </c>
      <c r="H19" s="51">
        <v>3.3683054542014741</v>
      </c>
    </row>
    <row r="20" spans="1:8" x14ac:dyDescent="0.3">
      <c r="A20" s="46">
        <v>4</v>
      </c>
      <c r="B20" s="47" t="s">
        <v>13</v>
      </c>
      <c r="C20" s="5">
        <v>2019</v>
      </c>
      <c r="D20" s="6">
        <v>3.6433763527822571</v>
      </c>
      <c r="E20" s="5">
        <v>4</v>
      </c>
      <c r="F20" s="47" t="s">
        <v>13</v>
      </c>
      <c r="G20" s="5">
        <v>2014</v>
      </c>
      <c r="H20" s="51">
        <v>1.1339002085074286</v>
      </c>
    </row>
    <row r="21" spans="1:8" x14ac:dyDescent="0.3">
      <c r="A21" s="46">
        <v>4</v>
      </c>
      <c r="B21" s="47" t="s">
        <v>13</v>
      </c>
      <c r="C21" s="5">
        <v>2018</v>
      </c>
      <c r="D21" s="6">
        <v>2.6539356127266198</v>
      </c>
      <c r="E21" s="5">
        <v>4</v>
      </c>
      <c r="F21" s="47" t="s">
        <v>13</v>
      </c>
      <c r="G21" s="5">
        <v>2013</v>
      </c>
      <c r="H21" s="51">
        <v>3.5555734020465929E-3</v>
      </c>
    </row>
    <row r="22" spans="1:8" x14ac:dyDescent="0.3">
      <c r="A22" s="46">
        <v>5</v>
      </c>
      <c r="B22" s="47" t="s">
        <v>5</v>
      </c>
      <c r="C22" s="5">
        <v>2022</v>
      </c>
      <c r="D22" s="6">
        <v>0.560480949755219</v>
      </c>
      <c r="E22" s="5">
        <v>5</v>
      </c>
      <c r="F22" s="47" t="s">
        <v>5</v>
      </c>
      <c r="G22" s="5">
        <v>2017</v>
      </c>
      <c r="H22" s="51">
        <v>2.3533875168879983</v>
      </c>
    </row>
    <row r="23" spans="1:8" x14ac:dyDescent="0.3">
      <c r="A23" s="46">
        <v>5</v>
      </c>
      <c r="B23" s="47" t="s">
        <v>5</v>
      </c>
      <c r="C23" s="5">
        <v>2021</v>
      </c>
      <c r="D23" s="6">
        <v>0.47467197324685428</v>
      </c>
      <c r="E23" s="5">
        <v>5</v>
      </c>
      <c r="F23" s="47" t="s">
        <v>5</v>
      </c>
      <c r="G23" s="5">
        <v>2016</v>
      </c>
      <c r="H23" s="51">
        <v>3.8021314738885521</v>
      </c>
    </row>
    <row r="24" spans="1:8" x14ac:dyDescent="0.3">
      <c r="A24" s="46">
        <v>5</v>
      </c>
      <c r="B24" s="47" t="s">
        <v>5</v>
      </c>
      <c r="C24" s="5">
        <v>2020</v>
      </c>
      <c r="D24" s="6">
        <v>1.6715074937844214</v>
      </c>
      <c r="E24" s="5">
        <v>5</v>
      </c>
      <c r="F24" s="47" t="s">
        <v>5</v>
      </c>
      <c r="G24" s="5">
        <v>2015</v>
      </c>
      <c r="H24" s="51">
        <v>1.6219678886277387</v>
      </c>
    </row>
    <row r="25" spans="1:8" x14ac:dyDescent="0.3">
      <c r="A25" s="46">
        <v>5</v>
      </c>
      <c r="B25" s="47" t="s">
        <v>5</v>
      </c>
      <c r="C25" s="5">
        <v>2019</v>
      </c>
      <c r="D25" s="6">
        <v>2.7063031241434117</v>
      </c>
      <c r="E25" s="5">
        <v>5</v>
      </c>
      <c r="F25" s="47" t="s">
        <v>5</v>
      </c>
      <c r="G25" s="5">
        <v>2014</v>
      </c>
      <c r="H25" s="51">
        <v>0.24387096776681785</v>
      </c>
    </row>
    <row r="26" spans="1:8" x14ac:dyDescent="0.3">
      <c r="A26" s="48">
        <v>5</v>
      </c>
      <c r="B26" s="49" t="s">
        <v>5</v>
      </c>
      <c r="C26" s="50">
        <v>2018</v>
      </c>
      <c r="D26" s="57">
        <v>4.1755971611470999</v>
      </c>
      <c r="E26" s="50">
        <v>5</v>
      </c>
      <c r="F26" s="49" t="s">
        <v>5</v>
      </c>
      <c r="G26" s="50">
        <v>2013</v>
      </c>
      <c r="H26" s="52">
        <v>0.77582586286921906</v>
      </c>
    </row>
  </sheetData>
  <mergeCells count="1">
    <mergeCell ref="J1:O2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1"/>
  <sheetViews>
    <sheetView workbookViewId="0">
      <selection activeCell="G5" sqref="G5"/>
    </sheetView>
  </sheetViews>
  <sheetFormatPr defaultRowHeight="14.4" x14ac:dyDescent="0.3"/>
  <cols>
    <col min="1" max="1" width="9.109375" bestFit="1" customWidth="1"/>
    <col min="2" max="2" width="27.109375" bestFit="1" customWidth="1"/>
    <col min="3" max="3" width="6.88671875" bestFit="1" customWidth="1"/>
    <col min="4" max="4" width="12.88671875" bestFit="1" customWidth="1"/>
    <col min="5" max="6" width="12" bestFit="1" customWidth="1"/>
  </cols>
  <sheetData>
    <row r="1" spans="1:12" x14ac:dyDescent="0.3">
      <c r="A1" s="69" t="s">
        <v>1</v>
      </c>
      <c r="B1" s="70" t="s">
        <v>2</v>
      </c>
      <c r="C1" s="70" t="s">
        <v>0</v>
      </c>
      <c r="D1" s="71" t="s">
        <v>14</v>
      </c>
      <c r="G1" s="83" t="s">
        <v>17</v>
      </c>
      <c r="H1" s="83"/>
      <c r="I1" s="83"/>
      <c r="J1" s="83"/>
      <c r="K1" s="83"/>
      <c r="L1" s="83"/>
    </row>
    <row r="2" spans="1:12" x14ac:dyDescent="0.3">
      <c r="A2" s="46">
        <v>1</v>
      </c>
      <c r="B2" s="47" t="s">
        <v>3</v>
      </c>
      <c r="C2" s="5">
        <v>2022</v>
      </c>
      <c r="D2" s="51">
        <v>17.562033438078544</v>
      </c>
      <c r="G2" s="83"/>
      <c r="H2" s="83"/>
      <c r="I2" s="83"/>
      <c r="J2" s="83"/>
      <c r="K2" s="83"/>
      <c r="L2" s="83"/>
    </row>
    <row r="3" spans="1:12" x14ac:dyDescent="0.3">
      <c r="A3" s="46">
        <v>1</v>
      </c>
      <c r="B3" s="47" t="s">
        <v>3</v>
      </c>
      <c r="C3" s="5">
        <v>2021</v>
      </c>
      <c r="D3" s="51">
        <v>17.569596261450076</v>
      </c>
    </row>
    <row r="4" spans="1:12" x14ac:dyDescent="0.3">
      <c r="A4" s="46">
        <v>1</v>
      </c>
      <c r="B4" s="47" t="s">
        <v>3</v>
      </c>
      <c r="C4" s="5">
        <v>2020</v>
      </c>
      <c r="D4" s="51">
        <v>18.579648528445244</v>
      </c>
    </row>
    <row r="5" spans="1:12" x14ac:dyDescent="0.3">
      <c r="A5" s="46">
        <v>1</v>
      </c>
      <c r="B5" s="47" t="s">
        <v>3</v>
      </c>
      <c r="C5" s="5">
        <v>2019</v>
      </c>
      <c r="D5" s="51">
        <v>18.961402010275446</v>
      </c>
    </row>
    <row r="6" spans="1:12" x14ac:dyDescent="0.3">
      <c r="A6" s="46">
        <v>1</v>
      </c>
      <c r="B6" s="47" t="s">
        <v>3</v>
      </c>
      <c r="C6" s="5">
        <v>2018</v>
      </c>
      <c r="D6" s="51">
        <v>17.703836292970987</v>
      </c>
    </row>
    <row r="7" spans="1:12" x14ac:dyDescent="0.3">
      <c r="A7" s="46">
        <v>1</v>
      </c>
      <c r="B7" s="47" t="s">
        <v>3</v>
      </c>
      <c r="C7" s="5">
        <v>2017</v>
      </c>
      <c r="D7" s="51">
        <v>17.63881639497621</v>
      </c>
    </row>
    <row r="8" spans="1:12" x14ac:dyDescent="0.3">
      <c r="A8" s="46">
        <v>1</v>
      </c>
      <c r="B8" s="47" t="s">
        <v>3</v>
      </c>
      <c r="C8" s="5">
        <v>2016</v>
      </c>
      <c r="D8" s="51">
        <v>18.492810783787064</v>
      </c>
    </row>
    <row r="9" spans="1:12" x14ac:dyDescent="0.3">
      <c r="A9" s="46">
        <v>1</v>
      </c>
      <c r="B9" s="47" t="s">
        <v>3</v>
      </c>
      <c r="C9" s="5">
        <v>2015</v>
      </c>
      <c r="D9" s="51">
        <v>16.176307585116568</v>
      </c>
    </row>
    <row r="10" spans="1:12" x14ac:dyDescent="0.3">
      <c r="A10" s="46">
        <v>1</v>
      </c>
      <c r="B10" s="47" t="s">
        <v>3</v>
      </c>
      <c r="C10" s="5">
        <v>2014</v>
      </c>
      <c r="D10" s="51">
        <v>15.863076923262657</v>
      </c>
    </row>
    <row r="11" spans="1:12" x14ac:dyDescent="0.3">
      <c r="A11" s="46">
        <v>1</v>
      </c>
      <c r="B11" s="47" t="s">
        <v>3</v>
      </c>
      <c r="C11" s="5">
        <v>2013</v>
      </c>
      <c r="D11" s="51">
        <v>16.218739573746593</v>
      </c>
    </row>
    <row r="12" spans="1:12" x14ac:dyDescent="0.3">
      <c r="A12" s="46">
        <v>2</v>
      </c>
      <c r="B12" s="47" t="s">
        <v>4</v>
      </c>
      <c r="C12" s="5">
        <v>2022</v>
      </c>
      <c r="D12" s="51">
        <v>28.056188198155972</v>
      </c>
    </row>
    <row r="13" spans="1:12" x14ac:dyDescent="0.3">
      <c r="A13" s="46">
        <v>2</v>
      </c>
      <c r="B13" s="47" t="s">
        <v>4</v>
      </c>
      <c r="C13" s="5">
        <v>2021</v>
      </c>
      <c r="D13" s="51">
        <v>30.041363825382959</v>
      </c>
    </row>
    <row r="14" spans="1:12" x14ac:dyDescent="0.3">
      <c r="A14" s="46">
        <v>2</v>
      </c>
      <c r="B14" s="47" t="s">
        <v>4</v>
      </c>
      <c r="C14" s="5">
        <v>2020</v>
      </c>
      <c r="D14" s="51">
        <v>31.288434212670531</v>
      </c>
    </row>
    <row r="15" spans="1:12" x14ac:dyDescent="0.3">
      <c r="A15" s="46">
        <v>2</v>
      </c>
      <c r="B15" s="47" t="s">
        <v>4</v>
      </c>
      <c r="C15" s="5">
        <v>2019</v>
      </c>
      <c r="D15" s="51">
        <v>31.181604934593622</v>
      </c>
    </row>
    <row r="16" spans="1:12" x14ac:dyDescent="0.3">
      <c r="A16" s="46">
        <v>2</v>
      </c>
      <c r="B16" s="47" t="s">
        <v>4</v>
      </c>
      <c r="C16" s="5">
        <v>2018</v>
      </c>
      <c r="D16" s="51">
        <v>31.742393628124198</v>
      </c>
    </row>
    <row r="17" spans="1:4" x14ac:dyDescent="0.3">
      <c r="A17" s="46">
        <v>2</v>
      </c>
      <c r="B17" s="47" t="s">
        <v>4</v>
      </c>
      <c r="C17" s="5">
        <v>2017</v>
      </c>
      <c r="D17" s="51">
        <v>39.797620684959604</v>
      </c>
    </row>
    <row r="18" spans="1:4" x14ac:dyDescent="0.3">
      <c r="A18" s="46">
        <v>2</v>
      </c>
      <c r="B18" s="47" t="s">
        <v>4</v>
      </c>
      <c r="C18" s="5">
        <v>2016</v>
      </c>
      <c r="D18" s="51">
        <v>37.202037400795305</v>
      </c>
    </row>
    <row r="19" spans="1:4" x14ac:dyDescent="0.3">
      <c r="A19" s="46">
        <v>2</v>
      </c>
      <c r="B19" s="47" t="s">
        <v>4</v>
      </c>
      <c r="C19" s="5">
        <v>2015</v>
      </c>
      <c r="D19" s="51">
        <v>32.522604981158246</v>
      </c>
    </row>
    <row r="20" spans="1:4" x14ac:dyDescent="0.3">
      <c r="A20" s="46">
        <v>2</v>
      </c>
      <c r="B20" s="47" t="s">
        <v>4</v>
      </c>
      <c r="C20" s="5">
        <v>2014</v>
      </c>
      <c r="D20" s="51">
        <v>31.089801401148719</v>
      </c>
    </row>
    <row r="21" spans="1:4" x14ac:dyDescent="0.3">
      <c r="A21" s="46">
        <v>2</v>
      </c>
      <c r="B21" s="47" t="s">
        <v>4</v>
      </c>
      <c r="C21" s="5">
        <v>2013</v>
      </c>
      <c r="D21" s="51">
        <v>36.885907934996332</v>
      </c>
    </row>
    <row r="22" spans="1:4" x14ac:dyDescent="0.3">
      <c r="A22" s="46">
        <v>3</v>
      </c>
      <c r="B22" s="47" t="s">
        <v>12</v>
      </c>
      <c r="C22" s="5">
        <v>2022</v>
      </c>
      <c r="D22" s="51">
        <v>17.262309685322297</v>
      </c>
    </row>
    <row r="23" spans="1:4" x14ac:dyDescent="0.3">
      <c r="A23" s="46">
        <v>3</v>
      </c>
      <c r="B23" s="47" t="s">
        <v>12</v>
      </c>
      <c r="C23" s="5">
        <v>2021</v>
      </c>
      <c r="D23" s="51">
        <v>14.825530161781044</v>
      </c>
    </row>
    <row r="24" spans="1:4" x14ac:dyDescent="0.3">
      <c r="A24" s="46">
        <v>3</v>
      </c>
      <c r="B24" s="47" t="s">
        <v>12</v>
      </c>
      <c r="C24" s="5">
        <v>2020</v>
      </c>
      <c r="D24" s="51">
        <v>18.624074709859631</v>
      </c>
    </row>
    <row r="25" spans="1:4" x14ac:dyDescent="0.3">
      <c r="A25" s="46">
        <v>3</v>
      </c>
      <c r="B25" s="47" t="s">
        <v>12</v>
      </c>
      <c r="C25" s="5">
        <v>2019</v>
      </c>
      <c r="D25" s="51">
        <v>20.513882470657588</v>
      </c>
    </row>
    <row r="26" spans="1:4" x14ac:dyDescent="0.3">
      <c r="A26" s="46">
        <v>3</v>
      </c>
      <c r="B26" s="47" t="s">
        <v>12</v>
      </c>
      <c r="C26" s="5">
        <v>2018</v>
      </c>
      <c r="D26" s="51">
        <v>24.157635281526709</v>
      </c>
    </row>
    <row r="27" spans="1:4" x14ac:dyDescent="0.3">
      <c r="A27" s="46">
        <v>3</v>
      </c>
      <c r="B27" s="47" t="s">
        <v>12</v>
      </c>
      <c r="C27" s="5">
        <v>2017</v>
      </c>
      <c r="D27" s="51">
        <v>29.278331682445213</v>
      </c>
    </row>
    <row r="28" spans="1:4" x14ac:dyDescent="0.3">
      <c r="A28" s="46">
        <v>3</v>
      </c>
      <c r="B28" s="47" t="s">
        <v>12</v>
      </c>
      <c r="C28" s="5">
        <v>2016</v>
      </c>
      <c r="D28" s="51">
        <v>30.575938603064518</v>
      </c>
    </row>
    <row r="29" spans="1:4" x14ac:dyDescent="0.3">
      <c r="A29" s="46">
        <v>3</v>
      </c>
      <c r="B29" s="47" t="s">
        <v>12</v>
      </c>
      <c r="C29" s="5">
        <v>2015</v>
      </c>
      <c r="D29" s="51">
        <v>27.724691842201377</v>
      </c>
    </row>
    <row r="30" spans="1:4" x14ac:dyDescent="0.3">
      <c r="A30" s="46">
        <v>3</v>
      </c>
      <c r="B30" s="47" t="s">
        <v>12</v>
      </c>
      <c r="C30" s="5">
        <v>2014</v>
      </c>
      <c r="D30" s="51">
        <v>27.673218822328117</v>
      </c>
    </row>
    <row r="31" spans="1:4" x14ac:dyDescent="0.3">
      <c r="A31" s="46">
        <v>3</v>
      </c>
      <c r="B31" s="47" t="s">
        <v>12</v>
      </c>
      <c r="C31" s="5">
        <v>2013</v>
      </c>
      <c r="D31" s="51">
        <v>26.781261909765909</v>
      </c>
    </row>
    <row r="32" spans="1:4" x14ac:dyDescent="0.3">
      <c r="A32" s="46">
        <v>4</v>
      </c>
      <c r="B32" s="47" t="s">
        <v>13</v>
      </c>
      <c r="C32" s="5">
        <v>2022</v>
      </c>
      <c r="D32" s="51">
        <v>73.242563633465409</v>
      </c>
    </row>
    <row r="33" spans="1:4" x14ac:dyDescent="0.3">
      <c r="A33" s="46">
        <v>4</v>
      </c>
      <c r="B33" s="47" t="s">
        <v>13</v>
      </c>
      <c r="C33" s="5">
        <v>2021</v>
      </c>
      <c r="D33" s="51">
        <v>64.392455345121903</v>
      </c>
    </row>
    <row r="34" spans="1:4" x14ac:dyDescent="0.3">
      <c r="A34" s="46">
        <v>4</v>
      </c>
      <c r="B34" s="47" t="s">
        <v>13</v>
      </c>
      <c r="C34" s="5">
        <v>2020</v>
      </c>
      <c r="D34" s="51">
        <v>62.61508107100925</v>
      </c>
    </row>
    <row r="35" spans="1:4" x14ac:dyDescent="0.3">
      <c r="A35" s="46">
        <v>4</v>
      </c>
      <c r="B35" s="47" t="s">
        <v>13</v>
      </c>
      <c r="C35" s="5">
        <v>2019</v>
      </c>
      <c r="D35" s="51">
        <v>67.253303211268289</v>
      </c>
    </row>
    <row r="36" spans="1:4" x14ac:dyDescent="0.3">
      <c r="A36" s="46">
        <v>4</v>
      </c>
      <c r="B36" s="47" t="s">
        <v>13</v>
      </c>
      <c r="C36" s="5">
        <v>2018</v>
      </c>
      <c r="D36" s="51">
        <v>65.715117102008392</v>
      </c>
    </row>
    <row r="37" spans="1:4" x14ac:dyDescent="0.3">
      <c r="A37" s="46">
        <v>4</v>
      </c>
      <c r="B37" s="47" t="s">
        <v>13</v>
      </c>
      <c r="C37" s="5">
        <v>2017</v>
      </c>
      <c r="D37" s="51">
        <v>62.090815081958006</v>
      </c>
    </row>
    <row r="38" spans="1:4" x14ac:dyDescent="0.3">
      <c r="A38" s="46">
        <v>4</v>
      </c>
      <c r="B38" s="47" t="s">
        <v>13</v>
      </c>
      <c r="C38" s="5">
        <v>2016</v>
      </c>
      <c r="D38" s="51">
        <v>68.808071155457071</v>
      </c>
    </row>
    <row r="39" spans="1:4" x14ac:dyDescent="0.3">
      <c r="A39" s="46">
        <v>4</v>
      </c>
      <c r="B39" s="47" t="s">
        <v>13</v>
      </c>
      <c r="C39" s="5">
        <v>2015</v>
      </c>
      <c r="D39" s="51">
        <v>68.854066611192465</v>
      </c>
    </row>
    <row r="40" spans="1:4" x14ac:dyDescent="0.3">
      <c r="A40" s="46">
        <v>4</v>
      </c>
      <c r="B40" s="47" t="s">
        <v>13</v>
      </c>
      <c r="C40" s="5">
        <v>2014</v>
      </c>
      <c r="D40" s="51">
        <v>78.962261943546125</v>
      </c>
    </row>
    <row r="41" spans="1:4" x14ac:dyDescent="0.3">
      <c r="A41" s="46">
        <v>4</v>
      </c>
      <c r="B41" s="47" t="s">
        <v>13</v>
      </c>
      <c r="C41" s="5">
        <v>2013</v>
      </c>
      <c r="D41" s="51">
        <v>83.312326295588534</v>
      </c>
    </row>
    <row r="42" spans="1:4" x14ac:dyDescent="0.3">
      <c r="A42" s="46">
        <v>5</v>
      </c>
      <c r="B42" s="47" t="s">
        <v>5</v>
      </c>
      <c r="C42" s="5">
        <v>2022</v>
      </c>
      <c r="D42" s="51">
        <v>70.624690665791491</v>
      </c>
    </row>
    <row r="43" spans="1:4" x14ac:dyDescent="0.3">
      <c r="A43" s="46">
        <v>5</v>
      </c>
      <c r="B43" s="47" t="s">
        <v>5</v>
      </c>
      <c r="C43" s="5">
        <v>2021</v>
      </c>
      <c r="D43" s="51">
        <v>63.133220334277887</v>
      </c>
    </row>
    <row r="44" spans="1:4" x14ac:dyDescent="0.3">
      <c r="A44" s="46">
        <v>5</v>
      </c>
      <c r="B44" s="47" t="s">
        <v>5</v>
      </c>
      <c r="C44" s="5">
        <v>2020</v>
      </c>
      <c r="D44" s="51">
        <v>49.526426490690717</v>
      </c>
    </row>
    <row r="45" spans="1:4" x14ac:dyDescent="0.3">
      <c r="A45" s="46">
        <v>5</v>
      </c>
      <c r="B45" s="47" t="s">
        <v>5</v>
      </c>
      <c r="C45" s="5">
        <v>2019</v>
      </c>
      <c r="D45" s="51">
        <v>51.031107243879013</v>
      </c>
    </row>
    <row r="46" spans="1:4" x14ac:dyDescent="0.3">
      <c r="A46" s="46">
        <v>5</v>
      </c>
      <c r="B46" s="47" t="s">
        <v>5</v>
      </c>
      <c r="C46" s="5">
        <v>2018</v>
      </c>
      <c r="D46" s="51">
        <v>41.632254158066971</v>
      </c>
    </row>
    <row r="47" spans="1:4" x14ac:dyDescent="0.3">
      <c r="A47" s="46">
        <v>5</v>
      </c>
      <c r="B47" s="47" t="s">
        <v>5</v>
      </c>
      <c r="C47" s="5">
        <v>2017</v>
      </c>
      <c r="D47" s="51">
        <v>38.023612251090135</v>
      </c>
    </row>
    <row r="48" spans="1:4" x14ac:dyDescent="0.3">
      <c r="A48" s="46">
        <v>5</v>
      </c>
      <c r="B48" s="47" t="s">
        <v>5</v>
      </c>
      <c r="C48" s="5">
        <v>2016</v>
      </c>
      <c r="D48" s="51">
        <v>50.527676019561049</v>
      </c>
    </row>
    <row r="49" spans="1:4" x14ac:dyDescent="0.3">
      <c r="A49" s="46">
        <v>5</v>
      </c>
      <c r="B49" s="47" t="s">
        <v>5</v>
      </c>
      <c r="C49" s="5">
        <v>2015</v>
      </c>
      <c r="D49" s="51">
        <v>54.206533007933722</v>
      </c>
    </row>
    <row r="50" spans="1:4" x14ac:dyDescent="0.3">
      <c r="A50" s="46">
        <v>5</v>
      </c>
      <c r="B50" s="47" t="s">
        <v>5</v>
      </c>
      <c r="C50" s="5">
        <v>2014</v>
      </c>
      <c r="D50" s="51">
        <v>41.751709838250328</v>
      </c>
    </row>
    <row r="51" spans="1:4" x14ac:dyDescent="0.3">
      <c r="A51" s="48">
        <v>5</v>
      </c>
      <c r="B51" s="49" t="s">
        <v>5</v>
      </c>
      <c r="C51" s="50">
        <v>2013</v>
      </c>
      <c r="D51" s="52">
        <v>41.462808401388088</v>
      </c>
    </row>
  </sheetData>
  <mergeCells count="1">
    <mergeCell ref="G1:L2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51A7-4572-484D-B498-757B3EC4C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</vt:lpstr>
      <vt:lpstr>DE RATIO</vt:lpstr>
      <vt:lpstr>DA RATIO</vt:lpstr>
      <vt:lpstr>IC</vt:lpstr>
      <vt:lpstr>GR</vt:lpstr>
      <vt:lpstr>GRP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Nimsara Sooriyaarachchi</dc:creator>
  <cp:lastModifiedBy>Mahesh Jayasekara</cp:lastModifiedBy>
  <dcterms:created xsi:type="dcterms:W3CDTF">2022-12-10T02:54:34Z</dcterms:created>
  <dcterms:modified xsi:type="dcterms:W3CDTF">2022-12-16T17:11:40Z</dcterms:modified>
</cp:coreProperties>
</file>