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25" activeTab="3"/>
  </bookViews>
  <sheets>
    <sheet name="Source" sheetId="1" r:id="rId1"/>
    <sheet name="GICS Sub Industry" sheetId="5" r:id="rId2"/>
    <sheet name="Profit &amp; Loss Statement" sheetId="7" r:id="rId3"/>
    <sheet name="Forecasts &amp; Assumptions" sheetId="6" r:id="rId4"/>
  </sheets>
  <externalReferences>
    <externalReference r:id="rId5"/>
  </externalReferences>
  <definedNames>
    <definedName name="_xlnm._FilterDatabase" localSheetId="0" hidden="1">Source!$B$1:$K$1711</definedName>
    <definedName name="COGS">[1]Data!$F$2:$F$13</definedName>
    <definedName name="Cost_of_Goods_Sold">'GICS Sub Industry'!$H$3:$H$10</definedName>
    <definedName name="GICS_Sub_Industry">'GICS Sub Industry'!$C$3:$C$10</definedName>
    <definedName name="Other_Operating_Items">'GICS Sub Industry'!$K$3:$K$10</definedName>
    <definedName name="OtherOpItems">[1]Data!$H$2:$H$13</definedName>
    <definedName name="R_and_D">'GICS Sub Industry'!$J$3:$J$10</definedName>
    <definedName name="Research_and_Development">'GICS Sub Industry'!$J$3:$J$10</definedName>
    <definedName name="Sales_General_and_Admin">'GICS Sub Industry'!$I$3:$I$10</definedName>
    <definedName name="Scenarios">'Forecasts &amp; Assumptions'!$N$7:$N$9</definedName>
    <definedName name="SGAs">[1]Data!$G$2:$G$13</definedName>
    <definedName name="Ticker_Symbol">'GICS Sub Industry'!$D$3:$D$10</definedName>
    <definedName name="tickersymbol">[1]Data!$B$2:$B$13</definedName>
    <definedName name="total_revenue">[1]Data!$E$2:$E$13</definedName>
    <definedName name="TotalRevenue">'GICS Sub Industry'!$G$3:$G$10</definedName>
    <definedName name="Year">'GICS Sub Industry'!$E$3:$E$10</definedName>
    <definedName name="years">[1]Data!$C$2:$C$13</definedName>
  </definedNames>
  <calcPr calcId="162913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6" l="1"/>
  <c r="F31" i="6"/>
  <c r="G30" i="6"/>
  <c r="F30" i="6"/>
  <c r="G29" i="6"/>
  <c r="F29" i="6"/>
  <c r="G28" i="6"/>
  <c r="F28" i="6"/>
  <c r="K23" i="6"/>
  <c r="K22" i="6"/>
  <c r="I13" i="6" a="1"/>
  <c r="I13" i="6" s="1"/>
  <c r="H13" i="6" a="1"/>
  <c r="H13" i="6" s="1"/>
  <c r="G13" i="6" a="1"/>
  <c r="G13" i="6" s="1"/>
  <c r="F13" i="6" a="1"/>
  <c r="F13" i="6" s="1"/>
  <c r="I12" i="6" a="1"/>
  <c r="I12" i="6"/>
  <c r="H12" i="6" a="1"/>
  <c r="H12" i="6"/>
  <c r="G12" i="6" a="1"/>
  <c r="G12" i="6" s="1"/>
  <c r="F12" i="6" a="1"/>
  <c r="F12" i="6"/>
  <c r="I11" i="6" a="1"/>
  <c r="I11" i="6" s="1"/>
  <c r="H11" i="6" a="1"/>
  <c r="H11" i="6"/>
  <c r="H14" i="6" s="1"/>
  <c r="G11" i="6" a="1"/>
  <c r="G11" i="6" s="1"/>
  <c r="F11" i="6" a="1"/>
  <c r="F11" i="6" s="1"/>
  <c r="F14" i="6" s="1"/>
  <c r="I9" i="6" a="1"/>
  <c r="I9" i="6" s="1"/>
  <c r="H9" i="6" a="1"/>
  <c r="H9" i="6" s="1"/>
  <c r="G9" i="6" a="1"/>
  <c r="G9" i="6" s="1"/>
  <c r="F9" i="6" a="1"/>
  <c r="F9" i="6" s="1"/>
  <c r="I8" i="6" a="1"/>
  <c r="I8" i="6" s="1"/>
  <c r="H8" i="6" a="1"/>
  <c r="H8" i="6" s="1"/>
  <c r="G8" i="6" a="1"/>
  <c r="G8" i="6" s="1"/>
  <c r="F8" i="6" a="1"/>
  <c r="F8" i="6" s="1"/>
  <c r="F10" i="6" s="1"/>
  <c r="F15" i="6" s="1"/>
  <c r="F23" i="6" s="1"/>
  <c r="H3" i="6"/>
  <c r="I13" i="7" a="1"/>
  <c r="I13" i="7" s="1"/>
  <c r="H13" i="7" a="1"/>
  <c r="H13" i="7"/>
  <c r="G13" i="7" a="1"/>
  <c r="G13" i="7" s="1"/>
  <c r="F13" i="7" a="1"/>
  <c r="F13" i="7"/>
  <c r="I12" i="7" a="1"/>
  <c r="I12" i="7" s="1"/>
  <c r="H12" i="7" a="1"/>
  <c r="H12" i="7"/>
  <c r="G12" i="7" a="1"/>
  <c r="G12" i="7" s="1"/>
  <c r="F12" i="7" a="1"/>
  <c r="F12" i="7"/>
  <c r="I11" i="7" a="1"/>
  <c r="I11" i="7" s="1"/>
  <c r="I14" i="7" s="1"/>
  <c r="H11" i="7" a="1"/>
  <c r="H11" i="7"/>
  <c r="H14" i="7" s="1"/>
  <c r="G11" i="7" a="1"/>
  <c r="G11" i="7" s="1"/>
  <c r="G14" i="7" s="1"/>
  <c r="F11" i="7" a="1"/>
  <c r="F11" i="7" s="1"/>
  <c r="I9" i="7" a="1"/>
  <c r="I9" i="7" s="1"/>
  <c r="H9" i="7" a="1"/>
  <c r="H9" i="7" s="1"/>
  <c r="G9" i="7" a="1"/>
  <c r="G9" i="7"/>
  <c r="G10" i="7" s="1"/>
  <c r="F9" i="7" a="1"/>
  <c r="F9" i="7" s="1"/>
  <c r="I8" i="7" a="1"/>
  <c r="I8" i="7"/>
  <c r="H8" i="7" a="1"/>
  <c r="H8" i="7" s="1"/>
  <c r="G8" i="7" a="1"/>
  <c r="G8" i="7"/>
  <c r="F8" i="7" a="1"/>
  <c r="F8" i="7" s="1"/>
  <c r="I10" i="7" l="1"/>
  <c r="F14" i="7"/>
  <c r="F10" i="7"/>
  <c r="I15" i="7"/>
  <c r="G15" i="7"/>
  <c r="H10" i="6"/>
  <c r="H15" i="6" s="1"/>
  <c r="H23" i="6" s="1"/>
  <c r="H21" i="6"/>
  <c r="H22" i="6"/>
  <c r="I21" i="6"/>
  <c r="I10" i="6"/>
  <c r="I22" i="6"/>
  <c r="F22" i="6"/>
  <c r="I14" i="6"/>
  <c r="H10" i="7"/>
  <c r="H15" i="7" s="1"/>
  <c r="G21" i="6"/>
  <c r="G10" i="6"/>
  <c r="G22" i="6"/>
  <c r="G14" i="6"/>
  <c r="F15" i="7" l="1"/>
  <c r="G15" i="6"/>
  <c r="G23" i="6" s="1"/>
  <c r="O12" i="6"/>
  <c r="O14" i="6"/>
  <c r="O13" i="6"/>
  <c r="J22" i="6" s="1"/>
  <c r="O9" i="6"/>
  <c r="P9" i="6" s="1"/>
  <c r="O8" i="6"/>
  <c r="O7" i="6"/>
  <c r="P7" i="6" s="1"/>
  <c r="I15" i="6"/>
  <c r="I23" i="6" s="1"/>
  <c r="P8" i="6" l="1"/>
  <c r="K21" i="6" s="1"/>
  <c r="J21" i="6"/>
  <c r="J8" i="6" s="1"/>
  <c r="O17" i="6"/>
  <c r="O19" i="6"/>
  <c r="O18" i="6"/>
  <c r="J23" i="6" s="1"/>
  <c r="J15" i="6" l="1"/>
  <c r="J10" i="6"/>
  <c r="K8" i="6"/>
  <c r="K15" i="6" l="1"/>
  <c r="K10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<sst xmlns="http://schemas.openxmlformats.org/spreadsheetml/2006/main" count="9073" uniqueCount="609">
  <si>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</si>
  <si>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</si>
  <si>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</si>
  <si>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</si>
  <si>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</si>
  <si>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</si>
  <si>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</si>
  <si>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</si>
  <si>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</si>
  <si>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</si>
  <si>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</si>
  <si>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</si>
  <si>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</si>
  <si>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</si>
  <si>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</si>
  <si>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</si>
  <si>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</si>
  <si>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</si>
  <si>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</si>
  <si>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</si>
  <si>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</si>
  <si>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</si>
  <si>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</si>
  <si>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</si>
  <si>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</si>
  <si>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</si>
  <si>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</si>
  <si>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</si>
  <si>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</si>
  <si>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</si>
  <si>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</si>
  <si>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</si>
  <si>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</si>
  <si>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</si>
  <si>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</si>
  <si>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</si>
  <si>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</si>
  <si>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</si>
  <si>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</si>
  <si>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</si>
  <si>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</si>
  <si>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</si>
  <si>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</si>
  <si>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</si>
  <si>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</si>
  <si>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</si>
  <si>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</si>
  <si>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</si>
  <si>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</si>
  <si>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</si>
  <si>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</si>
  <si>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</si>
  <si>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</si>
  <si>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</si>
  <si>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</si>
  <si>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</si>
  <si>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</si>
  <si>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</si>
  <si>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</si>
  <si>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</si>
  <si>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</si>
  <si>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</si>
  <si>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</si>
  <si>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</si>
  <si>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</si>
  <si>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</si>
  <si>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</si>
  <si>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</si>
  <si>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</si>
  <si>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</si>
  <si>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</si>
  <si>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</si>
  <si>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</si>
  <si>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</si>
  <si>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</si>
  <si>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</si>
  <si>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</si>
  <si>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</si>
  <si>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</si>
  <si>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</si>
  <si>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</si>
  <si>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</si>
  <si>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</si>
  <si>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</si>
  <si>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</si>
  <si>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</si>
  <si>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</si>
  <si>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</si>
  <si>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</si>
  <si>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</si>
  <si>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</si>
  <si>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</si>
  <si>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</si>
  <si>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</si>
  <si>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</si>
  <si>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</si>
  <si>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</si>
  <si>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</si>
  <si>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</si>
  <si>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</si>
  <si>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</si>
  <si>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</si>
  <si>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</si>
  <si>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</si>
  <si>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</si>
  <si>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</si>
  <si>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</si>
  <si>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</si>
  <si>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</si>
  <si>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</si>
  <si>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</si>
  <si>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</si>
  <si>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</si>
  <si>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</si>
  <si>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</si>
  <si>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</si>
  <si>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</si>
  <si>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</si>
  <si>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</si>
  <si>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</si>
  <si>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</si>
  <si>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</si>
  <si>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</si>
  <si>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</si>
  <si>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</si>
  <si>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</si>
  <si>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</si>
  <si>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</si>
  <si>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</si>
  <si>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</si>
  <si>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</si>
  <si>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</si>
  <si>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</si>
  <si>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</si>
  <si>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</si>
  <si>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</si>
  <si>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</si>
  <si>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</si>
  <si>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</si>
  <si>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</si>
  <si>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</si>
  <si>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</si>
  <si>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</si>
  <si>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</si>
  <si>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</si>
  <si>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</si>
  <si>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</si>
  <si>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</si>
  <si>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</si>
  <si>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</si>
  <si>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</si>
  <si>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</si>
  <si>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</si>
  <si>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</si>
  <si>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</si>
  <si>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</si>
  <si>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</si>
  <si>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</si>
  <si>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</si>
  <si>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</si>
  <si>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</si>
  <si>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</si>
  <si>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</si>
  <si>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</si>
  <si>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</si>
  <si>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</si>
  <si>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</si>
  <si>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</si>
  <si>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</si>
  <si>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</si>
  <si>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</si>
  <si>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</si>
  <si>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</si>
  <si>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</si>
  <si>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</si>
  <si>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</si>
  <si>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</si>
  <si>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</si>
  <si>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</si>
  <si>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</si>
  <si>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</si>
  <si>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</si>
  <si>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</si>
  <si>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</si>
  <si>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</si>
  <si>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</si>
  <si>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</si>
  <si>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</si>
  <si>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</si>
  <si>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</si>
  <si>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</si>
  <si>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</si>
  <si>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</si>
  <si>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</si>
  <si>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</si>
  <si>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</si>
  <si>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</si>
  <si>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</si>
  <si>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</si>
  <si>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</si>
  <si>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</si>
  <si>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</si>
  <si>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</si>
  <si>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</si>
  <si>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</si>
  <si>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</si>
  <si>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</si>
  <si>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</si>
  <si>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</si>
  <si>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</si>
  <si>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</si>
  <si>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</si>
  <si>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</si>
  <si>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</si>
  <si>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</si>
  <si>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</si>
  <si>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</si>
  <si>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</si>
  <si>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</si>
  <si>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</si>
  <si>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</si>
  <si>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</si>
  <si>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</si>
  <si>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</si>
  <si>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</si>
  <si>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</si>
  <si>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</si>
  <si>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</si>
  <si>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</si>
  <si>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</si>
  <si>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</si>
  <si>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</si>
  <si>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</si>
  <si>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</si>
  <si>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</si>
  <si>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</si>
  <si>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</si>
  <si>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</si>
  <si>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</si>
  <si>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</si>
  <si>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</si>
  <si>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</si>
  <si>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</si>
  <si>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</si>
  <si>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</si>
  <si>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</si>
  <si>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</si>
  <si>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</si>
  <si>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</si>
  <si>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</si>
  <si>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</si>
  <si>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</si>
  <si>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</si>
  <si>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</si>
  <si>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</si>
  <si>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</si>
  <si>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</si>
  <si>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</si>
  <si>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</si>
  <si>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</si>
  <si>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</si>
  <si>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</si>
  <si>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</si>
  <si>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</si>
  <si>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</si>
  <si>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</si>
  <si>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</si>
  <si>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</si>
  <si>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</si>
  <si>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</si>
  <si>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</si>
  <si>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</si>
  <si>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</si>
  <si>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</si>
  <si>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</si>
  <si>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</si>
  <si>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</si>
  <si>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</si>
  <si>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</si>
  <si>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</si>
  <si>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</si>
  <si>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</si>
  <si>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</si>
  <si>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</si>
  <si>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</si>
  <si>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</si>
  <si>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</si>
  <si>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</si>
  <si>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</si>
  <si>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</si>
  <si>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</si>
  <si>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</si>
  <si>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</si>
  <si>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</si>
  <si>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</si>
  <si>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</si>
  <si>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</si>
  <si>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</si>
  <si>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</si>
  <si>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</si>
  <si>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</si>
  <si>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</si>
  <si>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</si>
  <si>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</si>
  <si>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</si>
  <si>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</si>
  <si>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</si>
  <si>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</si>
  <si>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</si>
  <si>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</si>
  <si>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</si>
  <si>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</si>
  <si>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</si>
  <si>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</si>
  <si>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</si>
  <si>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</si>
  <si>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</si>
  <si>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</si>
  <si>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</si>
  <si>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</si>
  <si>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</si>
  <si>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</si>
  <si>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</si>
  <si>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</si>
  <si>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</si>
  <si>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</si>
  <si>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</si>
  <si>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</si>
  <si>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</si>
  <si>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</si>
  <si>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</si>
  <si>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</si>
  <si>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</si>
  <si>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</si>
  <si>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</si>
  <si>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</si>
  <si>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</si>
  <si>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</si>
  <si>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</si>
  <si>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</si>
  <si>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</si>
  <si>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</si>
  <si>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</si>
  <si>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</si>
  <si>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</si>
  <si>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</si>
  <si>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</si>
  <si>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</si>
  <si>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</si>
  <si>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</si>
  <si>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</si>
  <si>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</si>
  <si>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</si>
  <si>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</si>
  <si>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</si>
  <si>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</si>
  <si>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</si>
  <si>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</si>
  <si>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</si>
  <si>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</si>
  <si>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</si>
  <si>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</si>
  <si>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</si>
  <si>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</si>
  <si>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</si>
  <si>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</si>
  <si>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</si>
  <si>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</si>
  <si>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</si>
  <si>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</si>
  <si>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</si>
  <si>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</si>
  <si>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</si>
  <si>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</si>
  <si>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</si>
  <si>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</si>
  <si>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</si>
  <si>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</si>
  <si>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</si>
  <si>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</si>
  <si>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</si>
  <si>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</si>
  <si>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</si>
  <si>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</si>
  <si>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</si>
  <si>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</si>
  <si>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</si>
  <si>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</si>
  <si>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</si>
  <si>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</si>
  <si>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</si>
  <si>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</si>
  <si>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</si>
  <si>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</si>
  <si>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</si>
  <si>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</si>
  <si>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</si>
  <si>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</si>
  <si>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</si>
  <si>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</si>
  <si>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</si>
  <si>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</si>
  <si>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</si>
  <si>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</si>
  <si>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</si>
  <si>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</si>
  <si>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</si>
  <si>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</si>
  <si>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</si>
  <si>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</si>
  <si>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</si>
  <si>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</si>
  <si>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</si>
  <si>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</si>
  <si>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</si>
  <si>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</si>
  <si>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</si>
  <si>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</si>
  <si>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</si>
  <si>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</si>
  <si>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</si>
  <si>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</si>
  <si>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</si>
  <si>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</si>
  <si>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</si>
  <si>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</si>
  <si>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</si>
  <si>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</si>
  <si>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</si>
  <si>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</si>
  <si>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</si>
  <si>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</si>
  <si>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</si>
  <si>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</si>
  <si>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</si>
  <si>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</si>
  <si>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</si>
  <si>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</si>
  <si>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</si>
  <si>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</si>
  <si>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</si>
  <si>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</si>
  <si>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</si>
  <si>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</si>
  <si>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</si>
  <si>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</si>
  <si>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</si>
  <si>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</si>
  <si>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</si>
  <si>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</si>
  <si>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</si>
  <si>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</si>
  <si>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</si>
  <si>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</si>
  <si>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</si>
  <si>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</si>
  <si>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</si>
  <si>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</si>
  <si>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</si>
  <si>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</si>
  <si>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</si>
  <si>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</si>
  <si>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</si>
  <si>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</si>
  <si>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</si>
  <si>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</si>
  <si>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</si>
  <si>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</si>
  <si>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</si>
  <si>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</si>
  <si>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</si>
  <si>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</si>
  <si>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</si>
  <si>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</si>
  <si>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</si>
  <si>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</si>
  <si>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</si>
  <si>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</si>
  <si>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</si>
  <si>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</si>
  <si>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</si>
  <si>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</si>
  <si>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</si>
  <si>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</si>
  <si>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</si>
  <si>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</si>
  <si>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</si>
  <si>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</si>
  <si>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</si>
  <si>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</si>
  <si>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</si>
  <si>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</si>
  <si>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</si>
  <si>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</si>
  <si>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</si>
  <si>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</si>
  <si>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</si>
  <si>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</si>
  <si>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</si>
  <si>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</si>
  <si>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</si>
  <si>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</si>
  <si>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</si>
  <si>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</si>
  <si>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</si>
  <si>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</si>
  <si>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</si>
  <si>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</si>
  <si>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</si>
  <si>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</si>
  <si>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</si>
  <si>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</si>
  <si>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</si>
  <si>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</si>
  <si>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</si>
  <si>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</si>
  <si>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</si>
  <si>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</si>
  <si>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</si>
  <si>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</si>
  <si>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</si>
  <si>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</si>
  <si>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</si>
  <si>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</si>
  <si>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</si>
  <si>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</si>
  <si>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</si>
  <si>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</si>
  <si>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</si>
  <si>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</si>
  <si>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</si>
  <si>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</si>
  <si>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</si>
  <si>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</si>
  <si>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</si>
  <si>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</si>
  <si>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</si>
  <si>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</si>
  <si>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</si>
  <si>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</si>
  <si>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</si>
  <si>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</si>
  <si>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</si>
  <si>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</si>
  <si>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</si>
  <si>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</si>
  <si>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</si>
  <si>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</si>
  <si>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</si>
  <si>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</si>
  <si>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</si>
  <si>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</si>
  <si>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</si>
  <si>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</si>
  <si>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</si>
  <si>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</si>
  <si>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</si>
  <si>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</si>
  <si>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</si>
  <si>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</si>
  <si>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</si>
  <si>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</si>
  <si>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</si>
  <si>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</si>
  <si>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</si>
  <si>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</si>
  <si>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</si>
  <si>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</si>
  <si>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</si>
  <si>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</si>
  <si>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</si>
  <si>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</si>
  <si>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</si>
  <si>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</si>
  <si>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</si>
  <si>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</si>
  <si>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</si>
  <si>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</si>
  <si>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Profit &amp; Loss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</si>
  <si>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</si>
  <si>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</si>
  <si>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</si>
  <si>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</si>
  <si>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</si>
  <si>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</si>
  <si>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</si>
  <si>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Scenario</t>
  </si>
  <si>
    <t>Base case</t>
  </si>
  <si>
    <t>Operating Scenarios - sensitivity analysis</t>
  </si>
  <si>
    <t>Income Statement</t>
  </si>
  <si>
    <t>Revenue growth (%)</t>
  </si>
  <si>
    <t>Forecast</t>
  </si>
  <si>
    <t>Year 5</t>
  </si>
  <si>
    <t>Year 6</t>
  </si>
  <si>
    <t>Best Case</t>
  </si>
  <si>
    <t>Weak case</t>
  </si>
  <si>
    <t>Gross Margin</t>
  </si>
  <si>
    <t>Operating Margin</t>
  </si>
  <si>
    <t>Operating statistics</t>
  </si>
  <si>
    <t>Assumptions</t>
  </si>
  <si>
    <t>Gross margin</t>
  </si>
  <si>
    <t>Operating margin</t>
  </si>
  <si>
    <t>Quantitative Variables (Revenue)</t>
  </si>
  <si>
    <t xml:space="preserve">Mean </t>
  </si>
  <si>
    <t>Median</t>
  </si>
  <si>
    <t>Range</t>
  </si>
  <si>
    <t>Standard Deviation</t>
  </si>
  <si>
    <t>Quantitative Variables (Operating income/ EBIT)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</si>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</sst>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$-409]* #,##0.00_ ;_-[$$-409]* \-#,##0.00\ ;_-[$$-409]* &quot;-&quot;??_ ;_-@_ "/>
    <numFmt numFmtId="165" formatCode="0.000"/>
    <numFmt numFmtId="166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theme="2" tint="-0.499984740745262"/>
      </left>
      <right/>
      <top style="medium">
        <color indexed="64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theme="2" tint="-0.499984740745262"/>
      </left>
      <right/>
      <top/>
      <bottom style="thin">
        <color auto="1"/>
      </bottom>
      <diagonal/>
    </border>
    <border>
      <left style="thin">
        <color theme="2" tint="-0.499984740745262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double">
        <color auto="1"/>
      </right>
      <top style="medium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3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6" fontId="0" fillId="0" borderId="11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14" fontId="0" fillId="0" borderId="16" xfId="0" applyNumberFormat="1" applyBorder="1"/>
    <xf numFmtId="6" fontId="0" fillId="0" borderId="16" xfId="0" applyNumberFormat="1" applyBorder="1"/>
    <xf numFmtId="0" fontId="16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16" fillId="33" borderId="21" xfId="0" applyFont="1" applyFill="1" applyBorder="1"/>
    <xf numFmtId="0" fontId="0" fillId="39" borderId="22" xfId="0" applyFill="1" applyBorder="1"/>
    <xf numFmtId="0" fontId="0" fillId="0" borderId="24" xfId="0" applyBorder="1"/>
    <xf numFmtId="0" fontId="0" fillId="0" borderId="28" xfId="0" applyBorder="1"/>
    <xf numFmtId="9" fontId="0" fillId="0" borderId="0" xfId="0" applyNumberFormat="1"/>
    <xf numFmtId="0" fontId="0" fillId="0" borderId="29" xfId="0" applyBorder="1"/>
    <xf numFmtId="9" fontId="0" fillId="0" borderId="23" xfId="0" applyNumberFormat="1" applyBorder="1"/>
    <xf numFmtId="0" fontId="0" fillId="0" borderId="30" xfId="0" applyBorder="1"/>
    <xf numFmtId="0" fontId="16" fillId="33" borderId="31" xfId="0" applyFont="1" applyFill="1" applyBorder="1" applyAlignment="1">
      <alignment horizontal="left"/>
    </xf>
    <xf numFmtId="0" fontId="16" fillId="33" borderId="32" xfId="0" applyFont="1" applyFill="1" applyBorder="1" applyAlignment="1">
      <alignment horizontal="left"/>
    </xf>
    <xf numFmtId="0" fontId="16" fillId="33" borderId="33" xfId="0" applyFont="1" applyFill="1" applyBorder="1" applyAlignment="1">
      <alignment horizontal="left"/>
    </xf>
    <xf numFmtId="0" fontId="0" fillId="0" borderId="34" xfId="0" applyBorder="1"/>
    <xf numFmtId="10" fontId="0" fillId="0" borderId="35" xfId="0" applyNumberFormat="1" applyBorder="1"/>
    <xf numFmtId="0" fontId="16" fillId="33" borderId="0" xfId="0" applyFont="1" applyFill="1" applyAlignment="1">
      <alignment horizontal="left"/>
    </xf>
    <xf numFmtId="9" fontId="18" fillId="0" borderId="0" xfId="0" applyNumberFormat="1" applyFont="1" applyAlignment="1">
      <alignment horizontal="right" wrapText="1"/>
    </xf>
    <xf numFmtId="9" fontId="18" fillId="0" borderId="36" xfId="0" applyNumberFormat="1" applyFont="1" applyBorder="1" applyAlignment="1">
      <alignment horizontal="right" wrapText="1"/>
    </xf>
    <xf numFmtId="9" fontId="18" fillId="0" borderId="23" xfId="0" applyNumberFormat="1" applyFont="1" applyBorder="1" applyAlignment="1">
      <alignment horizontal="right" wrapText="1"/>
    </xf>
    <xf numFmtId="0" fontId="0" fillId="0" borderId="40" xfId="0" applyBorder="1"/>
    <xf numFmtId="6" fontId="0" fillId="0" borderId="41" xfId="0" applyNumberFormat="1" applyBorder="1"/>
    <xf numFmtId="43" fontId="0" fillId="0" borderId="36" xfId="42" applyFont="1" applyBorder="1"/>
    <xf numFmtId="43" fontId="0" fillId="0" borderId="43" xfId="42" applyFont="1" applyBorder="1"/>
    <xf numFmtId="0" fontId="0" fillId="0" borderId="45" xfId="0" applyBorder="1"/>
    <xf numFmtId="10" fontId="0" fillId="0" borderId="41" xfId="0" applyNumberFormat="1" applyBorder="1"/>
    <xf numFmtId="0" fontId="16" fillId="42" borderId="0" xfId="0" applyFont="1" applyFill="1"/>
    <xf numFmtId="0" fontId="16" fillId="43" borderId="41" xfId="0" applyFont="1" applyFill="1" applyBorder="1"/>
    <xf numFmtId="164" fontId="0" fillId="0" borderId="0" xfId="0" applyNumberFormat="1"/>
    <xf numFmtId="164" fontId="17" fillId="25" borderId="35" xfId="34" applyNumberFormat="1" applyBorder="1"/>
    <xf numFmtId="164" fontId="17" fillId="25" borderId="41" xfId="34" applyNumberFormat="1" applyBorder="1"/>
    <xf numFmtId="164" fontId="0" fillId="41" borderId="36" xfId="0" applyNumberFormat="1" applyFill="1" applyBorder="1"/>
    <xf numFmtId="164" fontId="0" fillId="41" borderId="47" xfId="0" applyNumberFormat="1" applyFill="1" applyBorder="1"/>
    <xf numFmtId="164" fontId="0" fillId="41" borderId="48" xfId="0" applyNumberFormat="1" applyFill="1" applyBorder="1"/>
    <xf numFmtId="165" fontId="0" fillId="0" borderId="0" xfId="0" applyNumberFormat="1"/>
    <xf numFmtId="165" fontId="0" fillId="0" borderId="35" xfId="0" applyNumberFormat="1" applyBorder="1"/>
    <xf numFmtId="165" fontId="0" fillId="0" borderId="41" xfId="0" applyNumberFormat="1" applyBorder="1"/>
    <xf numFmtId="165" fontId="0" fillId="0" borderId="36" xfId="0" applyNumberFormat="1" applyBorder="1"/>
    <xf numFmtId="165" fontId="0" fillId="0" borderId="47" xfId="0" applyNumberFormat="1" applyBorder="1"/>
    <xf numFmtId="165" fontId="0" fillId="0" borderId="43" xfId="0" applyNumberFormat="1" applyBorder="1"/>
    <xf numFmtId="164" fontId="0" fillId="44" borderId="0" xfId="0" applyNumberFormat="1" applyFill="1"/>
    <xf numFmtId="164" fontId="0" fillId="44" borderId="35" xfId="0" applyNumberFormat="1" applyFill="1" applyBorder="1"/>
    <xf numFmtId="164" fontId="0" fillId="44" borderId="41" xfId="0" applyNumberFormat="1" applyFill="1" applyBorder="1"/>
    <xf numFmtId="44" fontId="0" fillId="0" borderId="0" xfId="43" applyFont="1"/>
    <xf numFmtId="44" fontId="0" fillId="0" borderId="0" xfId="43" applyFont="1" applyBorder="1"/>
    <xf numFmtId="44" fontId="0" fillId="0" borderId="41" xfId="43" applyFont="1" applyBorder="1"/>
    <xf numFmtId="44" fontId="0" fillId="0" borderId="36" xfId="43" applyFont="1" applyBorder="1"/>
    <xf numFmtId="44" fontId="0" fillId="0" borderId="43" xfId="43" applyFont="1" applyBorder="1"/>
    <xf numFmtId="0" fontId="5" fillId="0" borderId="0" xfId="4" applyFill="1" applyBorder="1" applyAlignment="1"/>
    <xf numFmtId="0" fontId="16" fillId="43" borderId="14" xfId="0" applyFont="1" applyFill="1" applyBorder="1"/>
    <xf numFmtId="44" fontId="0" fillId="0" borderId="14" xfId="43" applyFont="1" applyBorder="1"/>
    <xf numFmtId="44" fontId="0" fillId="0" borderId="16" xfId="43" applyFont="1" applyBorder="1"/>
    <xf numFmtId="44" fontId="0" fillId="0" borderId="17" xfId="43" applyFont="1" applyBorder="1"/>
    <xf numFmtId="44" fontId="0" fillId="0" borderId="0" xfId="43" applyFont="1" applyFill="1" applyBorder="1"/>
    <xf numFmtId="166" fontId="0" fillId="0" borderId="0" xfId="0" applyNumberFormat="1"/>
    <xf numFmtId="164" fontId="17" fillId="0" borderId="0" xfId="34" applyNumberFormat="1" applyFill="1" applyBorder="1"/>
    <xf numFmtId="6" fontId="0" fillId="0" borderId="12" xfId="0" applyNumberFormat="1" applyBorder="1"/>
    <xf numFmtId="6" fontId="0" fillId="0" borderId="14" xfId="0" applyNumberFormat="1" applyBorder="1"/>
    <xf numFmtId="6" fontId="0" fillId="0" borderId="17" xfId="0" applyNumberFormat="1" applyBorder="1"/>
    <xf numFmtId="0" fontId="19" fillId="0" borderId="0" xfId="0" applyFont="1" applyAlignment="1">
      <alignment vertical="center"/>
    </xf>
    <xf numFmtId="0" fontId="0" fillId="0" borderId="53" xfId="0" applyBorder="1"/>
    <xf numFmtId="164" fontId="0" fillId="44" borderId="24" xfId="0" applyNumberFormat="1" applyFill="1" applyBorder="1"/>
    <xf numFmtId="164" fontId="0" fillId="0" borderId="24" xfId="0" applyNumberFormat="1" applyBorder="1"/>
    <xf numFmtId="44" fontId="0" fillId="0" borderId="24" xfId="43" applyFont="1" applyBorder="1"/>
    <xf numFmtId="0" fontId="16" fillId="33" borderId="21" xfId="0" applyFont="1" applyFill="1" applyBorder="1" applyAlignment="1">
      <alignment vertical="center"/>
    </xf>
    <xf numFmtId="0" fontId="16" fillId="35" borderId="22" xfId="0" applyFont="1" applyFill="1" applyBorder="1" applyAlignment="1">
      <alignment vertical="center"/>
    </xf>
    <xf numFmtId="0" fontId="0" fillId="0" borderId="0" xfId="0" applyBorder="1"/>
    <xf numFmtId="164" fontId="0" fillId="44" borderId="0" xfId="0" applyNumberFormat="1" applyFill="1" applyBorder="1"/>
    <xf numFmtId="164" fontId="0" fillId="0" borderId="0" xfId="0" applyNumberFormat="1" applyBorder="1"/>
    <xf numFmtId="164" fontId="0" fillId="47" borderId="23" xfId="0" applyNumberFormat="1" applyFill="1" applyBorder="1"/>
    <xf numFmtId="164" fontId="0" fillId="47" borderId="30" xfId="0" applyNumberFormat="1" applyFill="1" applyBorder="1"/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47" borderId="29" xfId="0" applyFont="1" applyFill="1" applyBorder="1" applyAlignment="1">
      <alignment horizontal="left"/>
    </xf>
    <xf numFmtId="0" fontId="16" fillId="47" borderId="23" xfId="0" applyFont="1" applyFill="1" applyBorder="1" applyAlignment="1">
      <alignment horizontal="left"/>
    </xf>
    <xf numFmtId="0" fontId="20" fillId="37" borderId="25" xfId="0" applyFont="1" applyFill="1" applyBorder="1" applyAlignment="1">
      <alignment horizontal="center" vertical="center"/>
    </xf>
    <xf numFmtId="0" fontId="20" fillId="37" borderId="26" xfId="0" applyFont="1" applyFill="1" applyBorder="1" applyAlignment="1">
      <alignment horizontal="center" vertical="center"/>
    </xf>
    <xf numFmtId="0" fontId="20" fillId="37" borderId="27" xfId="0" applyFont="1" applyFill="1" applyBorder="1" applyAlignment="1">
      <alignment horizontal="center" vertical="center"/>
    </xf>
    <xf numFmtId="0" fontId="20" fillId="37" borderId="28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20" fillId="37" borderId="24" xfId="0" applyFont="1" applyFill="1" applyBorder="1" applyAlignment="1">
      <alignment horizontal="center" vertical="center"/>
    </xf>
    <xf numFmtId="0" fontId="16" fillId="44" borderId="28" xfId="0" applyFont="1" applyFill="1" applyBorder="1" applyAlignment="1">
      <alignment horizontal="left"/>
    </xf>
    <xf numFmtId="0" fontId="16" fillId="44" borderId="0" xfId="0" applyFont="1" applyFill="1" applyBorder="1" applyAlignment="1">
      <alignment horizontal="left"/>
    </xf>
    <xf numFmtId="0" fontId="0" fillId="38" borderId="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  <xf numFmtId="0" fontId="20" fillId="46" borderId="11" xfId="0" applyFont="1" applyFill="1" applyBorder="1" applyAlignment="1">
      <alignment horizontal="center" vertical="center"/>
    </xf>
    <xf numFmtId="0" fontId="20" fillId="46" borderId="12" xfId="0" applyFont="1" applyFill="1" applyBorder="1" applyAlignment="1">
      <alignment horizontal="center" vertical="center"/>
    </xf>
    <xf numFmtId="0" fontId="20" fillId="46" borderId="16" xfId="0" applyFont="1" applyFill="1" applyBorder="1" applyAlignment="1">
      <alignment horizontal="center" vertical="center"/>
    </xf>
    <xf numFmtId="0" fontId="20" fillId="46" borderId="17" xfId="0" applyFont="1" applyFill="1" applyBorder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6" borderId="41" xfId="0" applyFill="1" applyBorder="1" applyAlignment="1">
      <alignment horizontal="center"/>
    </xf>
    <xf numFmtId="0" fontId="16" fillId="38" borderId="31" xfId="0" applyFont="1" applyFill="1" applyBorder="1" applyAlignment="1">
      <alignment horizontal="left"/>
    </xf>
    <xf numFmtId="0" fontId="16" fillId="38" borderId="32" xfId="0" applyFont="1" applyFill="1" applyBorder="1" applyAlignment="1">
      <alignment horizontal="left"/>
    </xf>
    <xf numFmtId="0" fontId="16" fillId="38" borderId="44" xfId="0" applyFont="1" applyFill="1" applyBorder="1" applyAlignment="1">
      <alignment horizontal="left"/>
    </xf>
    <xf numFmtId="0" fontId="16" fillId="41" borderId="46" xfId="0" applyFont="1" applyFill="1" applyBorder="1" applyAlignment="1">
      <alignment horizontal="left"/>
    </xf>
    <xf numFmtId="0" fontId="16" fillId="41" borderId="3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9" fillId="45" borderId="10" xfId="0" applyFont="1" applyFill="1" applyBorder="1" applyAlignment="1">
      <alignment horizontal="left" vertical="center"/>
    </xf>
    <xf numFmtId="0" fontId="19" fillId="45" borderId="11" xfId="0" applyFont="1" applyFill="1" applyBorder="1" applyAlignment="1">
      <alignment horizontal="left" vertical="center"/>
    </xf>
    <xf numFmtId="0" fontId="19" fillId="45" borderId="15" xfId="0" applyFont="1" applyFill="1" applyBorder="1" applyAlignment="1">
      <alignment horizontal="left" vertical="center"/>
    </xf>
    <xf numFmtId="0" fontId="19" fillId="45" borderId="16" xfId="0" applyFont="1" applyFill="1" applyBorder="1" applyAlignment="1">
      <alignment horizontal="left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7" xfId="0" applyFont="1" applyFill="1" applyBorder="1" applyAlignment="1">
      <alignment horizontal="center" vertical="center"/>
    </xf>
    <xf numFmtId="0" fontId="16" fillId="44" borderId="0" xfId="0" applyFont="1" applyFill="1" applyAlignment="1">
      <alignment horizontal="left"/>
    </xf>
    <xf numFmtId="0" fontId="16" fillId="33" borderId="31" xfId="0" applyFont="1" applyFill="1" applyBorder="1" applyAlignment="1">
      <alignment horizontal="left"/>
    </xf>
    <xf numFmtId="0" fontId="16" fillId="33" borderId="32" xfId="0" applyFont="1" applyFill="1" applyBorder="1" applyAlignment="1">
      <alignment horizontal="left"/>
    </xf>
    <xf numFmtId="0" fontId="16" fillId="33" borderId="33" xfId="0" applyFont="1" applyFill="1" applyBorder="1" applyAlignment="1">
      <alignment horizontal="left"/>
    </xf>
    <xf numFmtId="0" fontId="16" fillId="40" borderId="25" xfId="0" applyFont="1" applyFill="1" applyBorder="1" applyAlignment="1">
      <alignment horizontal="left"/>
    </xf>
    <xf numFmtId="0" fontId="16" fillId="40" borderId="26" xfId="0" applyFont="1" applyFill="1" applyBorder="1" applyAlignment="1">
      <alignment horizontal="left"/>
    </xf>
    <xf numFmtId="0" fontId="16" fillId="40" borderId="27" xfId="0" applyFont="1" applyFill="1" applyBorder="1" applyAlignment="1">
      <alignment horizontal="left"/>
    </xf>
    <xf numFmtId="0" fontId="16" fillId="38" borderId="0" xfId="0" applyFont="1" applyFill="1" applyAlignment="1">
      <alignment horizontal="left"/>
    </xf>
    <xf numFmtId="0" fontId="0" fillId="37" borderId="0" xfId="0" applyFill="1" applyAlignment="1">
      <alignment horizontal="center"/>
    </xf>
    <xf numFmtId="0" fontId="5" fillId="11" borderId="37" xfId="4" applyFill="1" applyBorder="1" applyAlignment="1">
      <alignment horizontal="left"/>
    </xf>
    <xf numFmtId="0" fontId="5" fillId="11" borderId="38" xfId="4" applyFill="1" applyBorder="1" applyAlignment="1">
      <alignment horizontal="left"/>
    </xf>
    <xf numFmtId="0" fontId="5" fillId="11" borderId="39" xfId="4" applyFill="1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0" xfId="0" applyBorder="1" applyAlignment="1">
      <alignment horizontal="left"/>
    </xf>
    <xf numFmtId="0" fontId="5" fillId="11" borderId="51" xfId="4" applyFill="1" applyBorder="1" applyAlignment="1">
      <alignment horizontal="center"/>
    </xf>
    <xf numFmtId="0" fontId="5" fillId="11" borderId="52" xfId="4" applyFill="1" applyBorder="1" applyAlignment="1">
      <alignment horizontal="center"/>
    </xf>
    <xf numFmtId="0" fontId="5" fillId="11" borderId="12" xfId="4" applyFill="1" applyBorder="1" applyAlignment="1">
      <alignment horizontal="center"/>
    </xf>
    <xf numFmtId="0" fontId="0" fillId="0" borderId="46" xfId="0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'Forecasts &amp; Assumptions'!$C$8:$E$8</c:f>
              <c:strCache>
                <c:ptCount val="3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796B-4D4A-9C2B-D23D20A54D8D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6B-4D4A-9C2B-D23D20A54D8D}"/>
              </c:ext>
            </c:extLst>
          </c:dPt>
          <c:cat>
            <c:strRef>
              <c:f>'Forecasts &amp; Assumptions'!$F$7:$K$7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'Forecasts &amp; Assumptions'!$F$8:$K$8</c:f>
              <c:numCache>
                <c:formatCode>_-[$$-409]* #,##0.00_ ;_-[$$-409]* \-#,##0.00\ ;_-[$$-409]* "-"??_ ;_-@_ </c:formatCode>
                <c:ptCount val="6"/>
                <c:pt idx="0">
                  <c:v>9964000000</c:v>
                </c:pt>
                <c:pt idx="1">
                  <c:v>8414000000</c:v>
                </c:pt>
                <c:pt idx="2">
                  <c:v>7292000000</c:v>
                </c:pt>
                <c:pt idx="3">
                  <c:v>7729000000</c:v>
                </c:pt>
                <c:pt idx="4">
                  <c:v>6698344188.2576656</c:v>
                </c:pt>
                <c:pt idx="5">
                  <c:v>6453344023.2646313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8-4913-9529-CFB356C80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088712"/>
        <c:axId val="1252078632"/>
      </c:lineChart>
      <c:catAx>
        <c:axId val="125208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Years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3A3838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0D0D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078632"/>
        <c:crosses val="autoZero"/>
        <c:auto val="1"/>
        <c:lblAlgn val="ctr"/>
        <c:lblOffset val="100"/>
        <c:noMultiLvlLbl val="0"/>
      </c:catAx>
      <c:valAx>
        <c:axId val="125207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088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Operating income/ EBIT (2012-2015)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'Forecasts &amp; Assumptions'!$J$40</c:f>
              <c:strCache>
                <c:ptCount val="1"/>
                <c:pt idx="0">
                  <c:v>Gold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'Forecasts &amp; Assumptions'!$I$41:$I$44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'Forecasts &amp; Assumptions'!$J$41:$J$44</c:f>
              <c:numCache>
                <c:formatCode>_("$"* #,##0.00_);_("$"* \(#,##0.00\);_("$"* "-"??_);_(@_)</c:formatCode>
                <c:ptCount val="4"/>
                <c:pt idx="0">
                  <c:v>3137000000</c:v>
                </c:pt>
                <c:pt idx="1">
                  <c:v>700000000</c:v>
                </c:pt>
                <c:pt idx="2">
                  <c:v>736000000</c:v>
                </c:pt>
                <c:pt idx="3">
                  <c:v>1219000000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B-48C3-AC67-42D641289326}"/>
            </c:ext>
          </c:extLst>
        </c:ser>
        <c:ser>
          <c:idx val="1"/>
          <c:order val="1"/>
          <c:tx>
            <c:strRef>
              <c:f>'Forecasts &amp; Assumptions'!$K$40</c:f>
              <c:strCache>
                <c:ptCount val="1"/>
                <c:pt idx="0">
                  <c:v>Steel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'Forecasts &amp; Assumptions'!$I$41:$I$44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'Forecasts &amp; Assumptions'!$K$41:$K$44</c:f>
              <c:numCache>
                <c:formatCode>_("$"* #,##0.00_);_("$"* \(#,##0.00\);_("$"* "-"??_);_(@_)</c:formatCode>
                <c:ptCount val="4"/>
                <c:pt idx="0">
                  <c:v>1058638000</c:v>
                </c:pt>
                <c:pt idx="1">
                  <c:v>942721000</c:v>
                </c:pt>
                <c:pt idx="2">
                  <c:v>1385721000</c:v>
                </c:pt>
                <c:pt idx="3">
                  <c:v>1122273000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B-48C3-AC67-42D641289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123728"/>
        <c:axId val="465111664"/>
      </c:lineChart>
      <c:catAx>
        <c:axId val="46512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bg1">
                        <a:lumMod val="95000"/>
                      </a:schemeClr>
                    </a:solidFill>
                  </a:rPr>
                  <a:t>Years</a:t>
                </a:r>
              </a:p>
            </c:rich>
          </c:tx>
          <c:layout>
            <c:manualLayout>
              <c:xMode val="edge"/>
              <c:yMode val="edge"/>
              <c:x val="0.57323904001450676"/>
              <c:y val="0.78666593759113446"/>
            </c:manualLayout>
          </c:layout>
          <c:overlay val="0"/>
          <c:spPr>
            <a:noFill/>
            <a:ln w="12700"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11664"/>
        <c:crosses val="autoZero"/>
        <c:auto val="1"/>
        <c:lblAlgn val="ctr"/>
        <c:lblOffset val="100"/>
        <c:noMultiLvlLbl val="0"/>
      </c:catAx>
      <c:valAx>
        <c:axId val="4651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>
                    <a:solidFill>
                      <a:schemeClr val="bg1"/>
                    </a:solidFill>
                  </a:rPr>
                  <a:t>Operating</a:t>
                </a:r>
                <a:r>
                  <a:rPr lang="en-US" sz="1050" b="0" baseline="0">
                    <a:solidFill>
                      <a:schemeClr val="bg1"/>
                    </a:solidFill>
                  </a:rPr>
                  <a:t> Income</a:t>
                </a:r>
                <a:endParaRPr lang="en-US" sz="1050" b="0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2.4911534628994671E-2"/>
              <c:y val="0.18691345873432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0417929679292877E-2"/>
          <c:y val="0.89409667541557303"/>
          <c:w val="0.3461988441745367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297656</xdr:colOff>
      <xdr:row>23</xdr:row>
      <xdr:rowOff>107156</xdr:rowOff>
    </xdr:from>
    <xdr:to>
      <xdr:col>10</xdr:col>
      <xdr:colOff>226219</xdr:colOff>
      <xdr:row>36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1202530</xdr:colOff>
      <xdr:row>45</xdr:row>
      <xdr:rowOff>86914</xdr:rowOff>
    </xdr:from>
    <xdr:to>
      <xdr:col>11</xdr:col>
      <xdr:colOff>500062</xdr:colOff>
      <xdr:row>59</xdr:row>
      <xdr:rowOff>163114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/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09.912874305555" createdVersion="6" refreshedVersion="6" minRefreshableVersion="3" recordCount="8">
  <cacheSource type="worksheet">
    <worksheetSource ref="C2:C10" sheet="GICS Sub Industry"/>
  </cacheSource>
  <cacheFields count="1">
    <cacheField name="GICS Sub Industry" numFmtId="0">
      <sharedItems count="2">
        <s v="Gold"/>
        <s v="Ste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114.68218773148" createdVersion="6" refreshedVersion="6" minRefreshableVersion="3" recordCount="8">
  <cacheSource type="worksheet">
    <worksheetSource ref="D2:D10" sheet="GICS Sub Industry"/>
  </cacheSource>
  <cacheFields count="1">
    <cacheField name="Ticker Symbol" numFmtId="0">
      <sharedItems count="2">
        <s v="NEM"/>
        <s v="N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</r>
  <r>
    <x v="0"/>
  </r>
  <r>
    <x v="0"/>
  </r>
  <r>
    <x v="0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x v="0"/>
  </r>
  <r>
    <x v="0"/>
  </r>
  <r>
    <x v="0"/>
  </r>
  <r>
    <x v="0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2:C15" firstHeaderRow="1" firstDataRow="1" firstDataCol="1"/>
  <pivotFields count="1">
    <pivotField axis="axisRow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12:D15" firstHeaderRow="1" firstDataRow="1" firstDataCol="1"/>
  <pivotFields count="1">
    <pivotField axis="axisRow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K1711"/>
  <sheetViews>
    <sheetView workbookViewId="0">
      <selection activeCell="M10" sqref="M10"/>
    </sheetView>
  </sheetViews>
  <sheetFormatPr defaultRowHeight="15" x14ac:dyDescent="0.25"/>
  <cols>
    <col min="2" max="2" width="13.42578125" bestFit="1" customWidth="1"/>
    <col min="3" max="3" width="9.140625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B1:K171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2:K15"/>
  <sheetViews>
    <sheetView zoomScaleNormal="100" workbookViewId="0">
      <selection activeCell="I20" sqref="I20"/>
    </sheetView>
  </sheetViews>
  <sheetFormatPr defaultRowHeight="15" x14ac:dyDescent="0.25"/>
  <cols>
    <col min="2" max="2" width="11.140625" bestFit="1" customWidth="1"/>
    <col min="3" max="3" width="16.7109375" bestFit="1" customWidth="1"/>
    <col min="4" max="4" width="13.140625" customWidth="1"/>
    <col min="5" max="5" width="6.28515625" bestFit="1" customWidth="1"/>
    <col min="6" max="6" width="13.42578125" bestFit="1" customWidth="1"/>
    <col min="7" max="7" width="15.5703125" bestFit="1" customWidth="1"/>
    <col min="8" max="8" width="18.7109375" bestFit="1" customWidth="1"/>
    <col min="9" max="9" width="25.7109375" bestFit="1" customWidth="1"/>
    <col min="10" max="10" width="26.7109375" bestFit="1" customWidth="1"/>
    <col min="11" max="11" width="22.140625" bestFit="1" customWidth="1"/>
    <col min="12" max="12" width="14.5703125" bestFit="1" customWidth="1"/>
    <col min="13" max="13" width="23.7109375" bestFit="1" customWidth="1"/>
    <col min="14" max="14" width="22.28515625" bestFit="1" customWidth="1"/>
    <col min="15" max="15" width="19.28515625" bestFit="1" customWidth="1"/>
    <col min="16" max="16" width="12.42578125" bestFit="1" customWidth="1"/>
    <col min="17" max="17" width="16.5703125" bestFit="1" customWidth="1"/>
  </cols>
  <sheetData>
    <row r="2" spans="2:11" ht="15.75" thickBot="1" x14ac:dyDescent="0.3">
      <c r="B2" s="13" t="s">
        <v>8</v>
      </c>
      <c r="C2" s="13" t="s">
        <v>9</v>
      </c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</row>
    <row r="3" spans="2:11" x14ac:dyDescent="0.25">
      <c r="B3" s="84" t="s">
        <v>59</v>
      </c>
      <c r="C3" s="4" t="s">
        <v>410</v>
      </c>
      <c r="D3" s="5" t="s">
        <v>409</v>
      </c>
      <c r="E3" s="5" t="s">
        <v>11</v>
      </c>
      <c r="F3" s="6">
        <v>41274</v>
      </c>
      <c r="G3" s="7">
        <v>9964000000</v>
      </c>
      <c r="H3" s="7">
        <v>4334000000</v>
      </c>
      <c r="I3" s="7">
        <v>757000000</v>
      </c>
      <c r="J3" s="7">
        <v>704000000</v>
      </c>
      <c r="K3" s="69">
        <v>1032000000</v>
      </c>
    </row>
    <row r="4" spans="2:11" x14ac:dyDescent="0.25">
      <c r="B4" s="85"/>
      <c r="C4" s="8" t="s">
        <v>410</v>
      </c>
      <c r="D4" t="s">
        <v>409</v>
      </c>
      <c r="E4" t="s">
        <v>15</v>
      </c>
      <c r="F4" s="1">
        <v>41639</v>
      </c>
      <c r="G4" s="2">
        <v>8414000000</v>
      </c>
      <c r="H4" s="2">
        <v>5299000000</v>
      </c>
      <c r="I4" s="2">
        <v>584000000</v>
      </c>
      <c r="J4" s="2">
        <v>469000000</v>
      </c>
      <c r="K4" s="70">
        <v>1362000000</v>
      </c>
    </row>
    <row r="5" spans="2:11" x14ac:dyDescent="0.25">
      <c r="B5" s="85"/>
      <c r="C5" s="8" t="s">
        <v>410</v>
      </c>
      <c r="D5" t="s">
        <v>409</v>
      </c>
      <c r="E5" t="s">
        <v>16</v>
      </c>
      <c r="F5" s="1">
        <v>42004</v>
      </c>
      <c r="G5" s="2">
        <v>7292000000</v>
      </c>
      <c r="H5" s="2">
        <v>4457000000</v>
      </c>
      <c r="I5" s="2">
        <v>545000000</v>
      </c>
      <c r="J5" s="2">
        <v>325000000</v>
      </c>
      <c r="K5" s="70">
        <v>1229000000</v>
      </c>
    </row>
    <row r="6" spans="2:11" ht="15.75" thickBot="1" x14ac:dyDescent="0.3">
      <c r="B6" s="85"/>
      <c r="C6" s="8" t="s">
        <v>410</v>
      </c>
      <c r="D6" s="10" t="s">
        <v>409</v>
      </c>
      <c r="E6" s="10" t="s">
        <v>17</v>
      </c>
      <c r="F6" s="11">
        <v>42369</v>
      </c>
      <c r="G6" s="12">
        <v>7729000000</v>
      </c>
      <c r="H6" s="12">
        <v>4312000000</v>
      </c>
      <c r="I6" s="12">
        <v>670000000</v>
      </c>
      <c r="J6" s="12">
        <v>289000000</v>
      </c>
      <c r="K6" s="71">
        <v>1239000000</v>
      </c>
    </row>
    <row r="7" spans="2:11" x14ac:dyDescent="0.25">
      <c r="B7" s="85"/>
      <c r="C7" s="4" t="s">
        <v>419</v>
      </c>
      <c r="D7" s="5" t="s">
        <v>418</v>
      </c>
      <c r="E7" s="5" t="s">
        <v>11</v>
      </c>
      <c r="F7" s="6">
        <v>41274</v>
      </c>
      <c r="G7" s="7">
        <v>19429273000</v>
      </c>
      <c r="H7" s="7">
        <v>17915735000</v>
      </c>
      <c r="I7" s="7">
        <v>454900000</v>
      </c>
      <c r="J7" s="7">
        <v>0</v>
      </c>
      <c r="K7" s="69">
        <v>0</v>
      </c>
    </row>
    <row r="8" spans="2:11" x14ac:dyDescent="0.25">
      <c r="B8" s="85"/>
      <c r="C8" s="8" t="s">
        <v>419</v>
      </c>
      <c r="D8" t="s">
        <v>418</v>
      </c>
      <c r="E8" t="s">
        <v>15</v>
      </c>
      <c r="F8" s="1">
        <v>41639</v>
      </c>
      <c r="G8" s="2">
        <v>19052046000</v>
      </c>
      <c r="H8" s="2">
        <v>17641421000</v>
      </c>
      <c r="I8" s="2">
        <v>467904000</v>
      </c>
      <c r="J8" s="2">
        <v>0</v>
      </c>
      <c r="K8" s="70">
        <v>0</v>
      </c>
    </row>
    <row r="9" spans="2:11" x14ac:dyDescent="0.25">
      <c r="B9" s="85"/>
      <c r="C9" s="8" t="s">
        <v>419</v>
      </c>
      <c r="D9" t="s">
        <v>418</v>
      </c>
      <c r="E9" t="s">
        <v>16</v>
      </c>
      <c r="F9" s="1">
        <v>42004</v>
      </c>
      <c r="G9" s="2">
        <v>21105141000</v>
      </c>
      <c r="H9" s="2">
        <v>19198615000</v>
      </c>
      <c r="I9" s="2">
        <v>520805000</v>
      </c>
      <c r="J9" s="2">
        <v>0</v>
      </c>
      <c r="K9" s="70">
        <v>0</v>
      </c>
    </row>
    <row r="10" spans="2:11" ht="15.75" thickBot="1" x14ac:dyDescent="0.3">
      <c r="B10" s="86"/>
      <c r="C10" s="9" t="s">
        <v>419</v>
      </c>
      <c r="D10" s="10" t="s">
        <v>418</v>
      </c>
      <c r="E10" s="10" t="s">
        <v>17</v>
      </c>
      <c r="F10" s="11">
        <v>42369</v>
      </c>
      <c r="G10" s="12">
        <v>16439276000</v>
      </c>
      <c r="H10" s="12">
        <v>14858014000</v>
      </c>
      <c r="I10" s="12">
        <v>458989000</v>
      </c>
      <c r="J10" s="12">
        <v>0</v>
      </c>
      <c r="K10" s="71">
        <v>0</v>
      </c>
    </row>
    <row r="12" spans="2:11" x14ac:dyDescent="0.25">
      <c r="C12" s="14" t="s">
        <v>576</v>
      </c>
      <c r="D12" s="14" t="s">
        <v>576</v>
      </c>
    </row>
    <row r="13" spans="2:11" x14ac:dyDescent="0.25">
      <c r="C13" s="15" t="s">
        <v>410</v>
      </c>
      <c r="D13" s="15" t="s">
        <v>409</v>
      </c>
    </row>
    <row r="14" spans="2:11" x14ac:dyDescent="0.25">
      <c r="C14" s="15" t="s">
        <v>419</v>
      </c>
      <c r="D14" s="15" t="s">
        <v>418</v>
      </c>
    </row>
    <row r="15" spans="2:11" x14ac:dyDescent="0.25">
      <c r="C15" s="15" t="s">
        <v>577</v>
      </c>
      <c r="D15" s="15" t="s">
        <v>577</v>
      </c>
    </row>
  </sheetData>
  <mergeCells count="1">
    <mergeCell ref="B3:B10"/>
  </mergeCell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K16"/>
  <sheetViews>
    <sheetView workbookViewId="0">
      <selection activeCell="C2" sqref="C2"/>
    </sheetView>
  </sheetViews>
  <sheetFormatPr defaultRowHeight="15" x14ac:dyDescent="0.25"/>
  <cols>
    <col min="2" max="2" width="13.42578125" bestFit="1" customWidth="1"/>
    <col min="6" max="9" width="19.7109375" bestFit="1" customWidth="1"/>
    <col min="10" max="11" width="17.7109375" bestFit="1" customWidth="1"/>
  </cols>
  <sheetData>
    <row r="1" spans="2:11" ht="15.75" thickBot="1" x14ac:dyDescent="0.3"/>
    <row r="2" spans="2:11" ht="15" customHeight="1" thickBot="1" x14ac:dyDescent="0.3">
      <c r="B2" s="77" t="s">
        <v>0</v>
      </c>
      <c r="C2" s="78" t="s">
        <v>418</v>
      </c>
    </row>
    <row r="3" spans="2:11" ht="15.75" customHeight="1" thickBot="1" x14ac:dyDescent="0.3">
      <c r="B3" s="72"/>
      <c r="C3" s="72"/>
    </row>
    <row r="4" spans="2:11" ht="15.75" thickTop="1" x14ac:dyDescent="0.25">
      <c r="C4" s="91" t="s">
        <v>578</v>
      </c>
      <c r="D4" s="92"/>
      <c r="E4" s="92"/>
      <c r="F4" s="92"/>
      <c r="G4" s="92"/>
      <c r="H4" s="92"/>
      <c r="I4" s="93"/>
    </row>
    <row r="5" spans="2:11" x14ac:dyDescent="0.25">
      <c r="C5" s="94"/>
      <c r="D5" s="95"/>
      <c r="E5" s="95"/>
      <c r="F5" s="95"/>
      <c r="G5" s="95"/>
      <c r="H5" s="95"/>
      <c r="I5" s="96"/>
      <c r="J5" s="3"/>
      <c r="K5" s="3"/>
    </row>
    <row r="6" spans="2:11" ht="15.75" thickBot="1" x14ac:dyDescent="0.3">
      <c r="C6" s="19"/>
      <c r="D6" s="79"/>
      <c r="E6" s="79"/>
      <c r="F6" s="99" t="s">
        <v>579</v>
      </c>
      <c r="G6" s="99"/>
      <c r="H6" s="99"/>
      <c r="I6" s="100"/>
      <c r="J6" s="101"/>
      <c r="K6" s="101"/>
    </row>
    <row r="7" spans="2:11" x14ac:dyDescent="0.25">
      <c r="C7" s="19"/>
      <c r="D7" s="79"/>
      <c r="E7" s="79"/>
      <c r="F7" s="5" t="s">
        <v>11</v>
      </c>
      <c r="G7" s="5" t="s">
        <v>15</v>
      </c>
      <c r="H7" s="5" t="s">
        <v>16</v>
      </c>
      <c r="I7" s="73" t="s">
        <v>17</v>
      </c>
    </row>
    <row r="8" spans="2:11" x14ac:dyDescent="0.25">
      <c r="C8" s="97" t="s">
        <v>580</v>
      </c>
      <c r="D8" s="98"/>
      <c r="E8" s="98"/>
      <c r="F8" s="80" cm="1">
        <f t="array" ref="F8">INDEX(TotalRevenue,MATCH(1,('Profit &amp; Loss Statement'!C2=Ticker_Symbol)*('Forecasts &amp; Assumptions'!F7=Year),0))</f>
        <v>19429273000</v>
      </c>
      <c r="G8" s="80" cm="1">
        <f t="array" ref="G8">INDEX(TotalRevenue,MATCH(1,('Profit &amp; Loss Statement'!C2=Ticker_Symbol)*('Forecasts &amp; Assumptions'!G7=Year),0))</f>
        <v>19052046000</v>
      </c>
      <c r="H8" s="80" cm="1">
        <f t="array" ref="H8">INDEX(TotalRevenue,MATCH(1,('Profit &amp; Loss Statement'!C2=Ticker_Symbol)*('Forecasts &amp; Assumptions'!H7=Year),0))</f>
        <v>21105141000</v>
      </c>
      <c r="I8" s="74" cm="1">
        <f t="array" ref="I8">INDEX(TotalRevenue,MATCH(1,('Profit &amp; Loss Statement'!C2=Ticker_Symbol)*('Forecasts &amp; Assumptions'!I7=Year),0))</f>
        <v>16439276000</v>
      </c>
      <c r="J8" s="41"/>
      <c r="K8" s="41"/>
    </row>
    <row r="9" spans="2:11" x14ac:dyDescent="0.25">
      <c r="C9" s="87" t="s">
        <v>581</v>
      </c>
      <c r="D9" s="88"/>
      <c r="E9" s="88"/>
      <c r="F9" s="81" cm="1">
        <f t="array" ref="F9">INDEX(Cost_of_Goods_Sold,MATCH(1,('Profit &amp; Loss Statement'!C2=Ticker_Symbol)*('Forecasts &amp; Assumptions'!F7=Year),0))</f>
        <v>17915735000</v>
      </c>
      <c r="G9" s="81" cm="1">
        <f t="array" ref="G9">INDEX(Cost_of_Goods_Sold,MATCH(1,('Profit &amp; Loss Statement'!C2=Ticker_Symbol)*('Forecasts &amp; Assumptions'!G7=Year),0))</f>
        <v>17641421000</v>
      </c>
      <c r="H9" s="81" cm="1">
        <f t="array" ref="H9">INDEX(Cost_of_Goods_Sold,MATCH(1,('Profit &amp; Loss Statement'!C2=Ticker_Symbol)*('Forecasts &amp; Assumptions'!H7=Year),0))</f>
        <v>19198615000</v>
      </c>
      <c r="I9" s="75" cm="1">
        <f t="array" ref="I9">INDEX(Cost_of_Goods_Sold,MATCH(1,('Profit &amp; Loss Statement'!C2=Ticker_Symbol)*('Forecasts &amp; Assumptions'!I7=Year),0))</f>
        <v>14858014000</v>
      </c>
      <c r="J9" s="68"/>
      <c r="K9" s="68"/>
    </row>
    <row r="10" spans="2:11" x14ac:dyDescent="0.25">
      <c r="C10" s="97" t="s">
        <v>582</v>
      </c>
      <c r="D10" s="98"/>
      <c r="E10" s="98"/>
      <c r="F10" s="80">
        <f>F8-F9</f>
        <v>1513538000</v>
      </c>
      <c r="G10" s="80">
        <f>G8-G9</f>
        <v>1410625000</v>
      </c>
      <c r="H10" s="80">
        <f t="shared" ref="H10:I10" si="0">H8-H9</f>
        <v>1906526000</v>
      </c>
      <c r="I10" s="74">
        <f t="shared" si="0"/>
        <v>1581262000</v>
      </c>
      <c r="J10" s="41"/>
      <c r="K10" s="41"/>
    </row>
    <row r="11" spans="2:11" x14ac:dyDescent="0.25">
      <c r="C11" s="87" t="s">
        <v>5</v>
      </c>
      <c r="D11" s="88"/>
      <c r="E11" s="88"/>
      <c r="F11" s="81" cm="1">
        <f t="array" ref="F11">INDEX(Sales_General_and_Admin,MATCH(1,('Profit &amp; Loss Statement'!C2=Ticker_Symbol)*('Forecasts &amp; Assumptions'!F7=Year),0))</f>
        <v>454900000</v>
      </c>
      <c r="G11" s="81" cm="1">
        <f t="array" ref="G11">INDEX(Sales_General_and_Admin,MATCH(1,('Profit &amp; Loss Statement'!C2=Ticker_Symbol)*('Forecasts &amp; Assumptions'!G7=Year),0))</f>
        <v>467904000</v>
      </c>
      <c r="H11" s="81" cm="1">
        <f t="array" ref="H11">INDEX(Sales_General_and_Admin,MATCH(1,('Profit &amp; Loss Statement'!C2=Ticker_Symbol)*('Forecasts &amp; Assumptions'!H7=Year),0))</f>
        <v>520805000</v>
      </c>
      <c r="I11" s="75" cm="1">
        <f t="array" ref="I11">INDEX(Sales_General_and_Admin,MATCH(1,('Profit &amp; Loss Statement'!C2=Ticker_Symbol)*('Forecasts &amp; Assumptions'!I7=Year),0))</f>
        <v>458989000</v>
      </c>
      <c r="J11" s="68"/>
      <c r="K11" s="68"/>
    </row>
    <row r="12" spans="2:11" x14ac:dyDescent="0.25">
      <c r="C12" s="87" t="s">
        <v>6</v>
      </c>
      <c r="D12" s="88"/>
      <c r="E12" s="88"/>
      <c r="F12" s="57" cm="1">
        <f t="array" ref="F12">INDEX(R_and_D,MATCH(1,('Profit &amp; Loss Statement'!C2=Ticker_Symbol)*('Forecasts &amp; Assumptions'!F7=Year),0))</f>
        <v>0</v>
      </c>
      <c r="G12" s="57" cm="1">
        <f t="array" ref="G12">INDEX(R_and_D,MATCH(1,('Profit &amp; Loss Statement'!C2=Ticker_Symbol)*('Forecasts &amp; Assumptions'!G7=Year),0))</f>
        <v>0</v>
      </c>
      <c r="H12" s="57" cm="1">
        <f t="array" ref="H12">INDEX(R_and_D,MATCH(1,('Profit &amp; Loss Statement'!C2=Ticker_Symbol)*('Forecasts &amp; Assumptions'!H7=Year),0))</f>
        <v>0</v>
      </c>
      <c r="I12" s="76" cm="1">
        <f t="array" ref="I12">INDEX(R_and_D,MATCH(1,('Profit &amp; Loss Statement'!C2=Ticker_Symbol)*('Forecasts &amp; Assumptions'!I7=Year),0))</f>
        <v>0</v>
      </c>
      <c r="J12" s="68"/>
      <c r="K12" s="68"/>
    </row>
    <row r="13" spans="2:11" x14ac:dyDescent="0.25">
      <c r="C13" s="87" t="s">
        <v>583</v>
      </c>
      <c r="D13" s="88"/>
      <c r="E13" s="88"/>
      <c r="F13" s="81" cm="1">
        <f t="array" ref="F13">INDEX(Other_Operating_Items,MATCH(1,('Profit &amp; Loss Statement'!C2=Ticker_Symbol)*('Forecasts &amp; Assumptions'!F7=Year),0))</f>
        <v>0</v>
      </c>
      <c r="G13" s="81" cm="1">
        <f t="array" ref="G13">INDEX(Other_Operating_Items,MATCH(1,('Profit &amp; Loss Statement'!C2=Ticker_Symbol)*('Forecasts &amp; Assumptions'!G7=Year),0))</f>
        <v>0</v>
      </c>
      <c r="H13" s="81" cm="1">
        <f t="array" ref="H13">INDEX(Other_Operating_Items,MATCH(1,('Profit &amp; Loss Statement'!C2=Ticker_Symbol)*('Forecasts &amp; Assumptions'!H7=Year),0))</f>
        <v>0</v>
      </c>
      <c r="I13" s="75" cm="1">
        <f t="array" ref="I13">INDEX(Other_Operating_Items,MATCH(1,('Profit &amp; Loss Statement'!C2=Ticker_Symbol)*('Forecasts &amp; Assumptions'!I7=Year),0))</f>
        <v>0</v>
      </c>
      <c r="J13" s="68"/>
      <c r="K13" s="68"/>
    </row>
    <row r="14" spans="2:11" x14ac:dyDescent="0.25">
      <c r="C14" s="87" t="s">
        <v>584</v>
      </c>
      <c r="D14" s="88"/>
      <c r="E14" s="88"/>
      <c r="F14" s="57">
        <f>F11+F12+F13</f>
        <v>454900000</v>
      </c>
      <c r="G14" s="57">
        <f>G11+G12+G13</f>
        <v>467904000</v>
      </c>
      <c r="H14" s="57">
        <f t="shared" ref="H14:I14" si="1">H11+H12+H13</f>
        <v>520805000</v>
      </c>
      <c r="I14" s="76">
        <f t="shared" si="1"/>
        <v>458989000</v>
      </c>
      <c r="J14" s="68"/>
      <c r="K14" s="68"/>
    </row>
    <row r="15" spans="2:11" ht="15.75" thickBot="1" x14ac:dyDescent="0.3">
      <c r="C15" s="89" t="s">
        <v>585</v>
      </c>
      <c r="D15" s="90"/>
      <c r="E15" s="90"/>
      <c r="F15" s="82">
        <f>F10-F14</f>
        <v>1058638000</v>
      </c>
      <c r="G15" s="82">
        <f>G10-G14</f>
        <v>942721000</v>
      </c>
      <c r="H15" s="82">
        <f>H10-H14</f>
        <v>1385721000</v>
      </c>
      <c r="I15" s="83">
        <f>I10-I14</f>
        <v>1122273000</v>
      </c>
      <c r="J15" s="41"/>
      <c r="K15" s="41"/>
    </row>
    <row r="16" spans="2:11" ht="15.75" thickTop="1" x14ac:dyDescent="0.25"/>
  </sheetData>
  <mergeCells count="11">
    <mergeCell ref="C4:I5"/>
    <mergeCell ref="C10:E10"/>
    <mergeCell ref="F6:I6"/>
    <mergeCell ref="J6:K6"/>
    <mergeCell ref="C8:E8"/>
    <mergeCell ref="C9:E9"/>
    <mergeCell ref="C11:E11"/>
    <mergeCell ref="C12:E12"/>
    <mergeCell ref="C13:E13"/>
    <mergeCell ref="C14:E14"/>
    <mergeCell ref="C15:E15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'GICS Sub Industry'!$D$13:$D$14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Z54"/>
  <sheetViews>
    <sheetView tabSelected="1" zoomScale="90" zoomScaleNormal="90" workbookViewId="0">
      <selection activeCell="L33" sqref="L33"/>
    </sheetView>
  </sheetViews>
  <sheetFormatPr defaultRowHeight="15" x14ac:dyDescent="0.25"/>
  <cols>
    <col min="2" max="2" width="16.7109375" bestFit="1" customWidth="1"/>
    <col min="6" max="8" width="19.7109375" bestFit="1" customWidth="1"/>
    <col min="9" max="11" width="19.85546875" bestFit="1" customWidth="1"/>
    <col min="12" max="12" width="19.140625" bestFit="1" customWidth="1"/>
    <col min="14" max="14" width="17" bestFit="1" customWidth="1"/>
    <col min="16" max="16" width="10.28515625" bestFit="1" customWidth="1"/>
    <col min="21" max="21" width="9.140625" customWidth="1"/>
    <col min="23" max="23" width="8.5703125" customWidth="1"/>
    <col min="24" max="24" width="13" customWidth="1"/>
    <col min="25" max="26" width="19.140625" bestFit="1" customWidth="1"/>
  </cols>
  <sheetData>
    <row r="1" spans="2:26" ht="15.75" thickBot="1" x14ac:dyDescent="0.3"/>
    <row r="2" spans="2:26" ht="15.75" customHeight="1" thickBot="1" x14ac:dyDescent="0.3">
      <c r="B2" s="102" t="s">
        <v>0</v>
      </c>
      <c r="C2" s="120" t="s">
        <v>409</v>
      </c>
      <c r="M2" s="16" t="s">
        <v>586</v>
      </c>
      <c r="N2" s="17" t="s">
        <v>587</v>
      </c>
      <c r="V2" s="61"/>
      <c r="W2" s="61"/>
      <c r="X2" s="61"/>
      <c r="Y2" s="61"/>
      <c r="Z2" s="61"/>
    </row>
    <row r="3" spans="2:26" ht="15.75" customHeight="1" thickBot="1" x14ac:dyDescent="0.3">
      <c r="B3" s="103"/>
      <c r="C3" s="121"/>
      <c r="F3" s="116" t="s">
        <v>9</v>
      </c>
      <c r="G3" s="117"/>
      <c r="H3" s="104" t="str">
        <f ca="1">OFFSET('GICS Sub Industry'!D2,MATCH(C2,Ticker_Symbol,0),-1)</f>
        <v>Gold</v>
      </c>
      <c r="I3" s="105"/>
      <c r="Y3" s="3"/>
      <c r="Z3" s="3"/>
    </row>
    <row r="4" spans="2:26" ht="16.5" customHeight="1" thickTop="1" thickBot="1" x14ac:dyDescent="0.3">
      <c r="C4" s="3"/>
      <c r="D4" s="3"/>
      <c r="E4" s="3"/>
      <c r="F4" s="118"/>
      <c r="G4" s="119"/>
      <c r="H4" s="106"/>
      <c r="I4" s="107"/>
      <c r="M4" s="18"/>
      <c r="N4" s="126" t="s">
        <v>588</v>
      </c>
      <c r="O4" s="127"/>
      <c r="P4" s="127"/>
      <c r="Q4" s="128"/>
      <c r="Y4" s="66"/>
      <c r="Z4" s="66"/>
    </row>
    <row r="5" spans="2:26" x14ac:dyDescent="0.25">
      <c r="C5" s="110" t="s">
        <v>589</v>
      </c>
      <c r="D5" s="111"/>
      <c r="E5" s="111"/>
      <c r="F5" s="129"/>
      <c r="G5" s="129"/>
      <c r="H5" s="129"/>
      <c r="I5" s="129"/>
      <c r="J5" s="111"/>
      <c r="K5" s="112"/>
      <c r="M5" s="18"/>
      <c r="N5" s="123" t="s">
        <v>590</v>
      </c>
      <c r="O5" s="124"/>
      <c r="P5" s="124"/>
      <c r="Q5" s="125"/>
      <c r="Y5" s="66"/>
      <c r="Z5" s="66"/>
    </row>
    <row r="6" spans="2:26" ht="15.75" thickBot="1" x14ac:dyDescent="0.3">
      <c r="C6" s="19"/>
      <c r="F6" s="130" t="s">
        <v>579</v>
      </c>
      <c r="G6" s="130"/>
      <c r="H6" s="130"/>
      <c r="I6" s="130"/>
      <c r="J6" s="108" t="s">
        <v>591</v>
      </c>
      <c r="K6" s="109"/>
      <c r="M6" s="18"/>
      <c r="N6" s="19"/>
      <c r="O6" t="s">
        <v>592</v>
      </c>
      <c r="P6" t="s">
        <v>593</v>
      </c>
      <c r="Q6" s="18"/>
      <c r="Y6" s="66"/>
      <c r="Z6" s="66"/>
    </row>
    <row r="7" spans="2:26" x14ac:dyDescent="0.25">
      <c r="C7" s="19"/>
      <c r="F7" s="5" t="s">
        <v>11</v>
      </c>
      <c r="G7" s="5" t="s">
        <v>15</v>
      </c>
      <c r="H7" s="5" t="s">
        <v>16</v>
      </c>
      <c r="I7" s="5" t="s">
        <v>17</v>
      </c>
      <c r="J7" s="27" t="s">
        <v>592</v>
      </c>
      <c r="K7" s="37" t="s">
        <v>593</v>
      </c>
      <c r="M7" s="18"/>
      <c r="N7" s="19" t="s">
        <v>594</v>
      </c>
      <c r="O7" s="20">
        <f>MAX(G21:I21)</f>
        <v>5.9928688974218325E-2</v>
      </c>
      <c r="P7" s="20">
        <f>O7+_xlfn.STDEV.P(G21:I21)</f>
        <v>0.15670164080181503</v>
      </c>
      <c r="Q7" s="18"/>
      <c r="Y7" s="66"/>
      <c r="Z7" s="66"/>
    </row>
    <row r="8" spans="2:26" x14ac:dyDescent="0.25">
      <c r="C8" s="97" t="s">
        <v>580</v>
      </c>
      <c r="D8" s="122"/>
      <c r="E8" s="122"/>
      <c r="F8" s="53" cm="1">
        <f t="array" ref="F8">INDEX(TotalRevenue,MATCH(1,('Forecasts &amp; Assumptions'!C2=Ticker_Symbol)*('Forecasts &amp; Assumptions'!F7=Year),0))</f>
        <v>9964000000</v>
      </c>
      <c r="G8" s="53" cm="1">
        <f t="array" ref="G8">INDEX(TotalRevenue,MATCH(1,('Forecasts &amp; Assumptions'!C2=Ticker_Symbol)*('Forecasts &amp; Assumptions'!G7=Year),0))</f>
        <v>8414000000</v>
      </c>
      <c r="H8" s="53" cm="1">
        <f t="array" ref="H8">INDEX(TotalRevenue,MATCH(1,('Forecasts &amp; Assumptions'!C2=Ticker_Symbol)*('Forecasts &amp; Assumptions'!H7=Year),0))</f>
        <v>7292000000</v>
      </c>
      <c r="I8" s="53" cm="1">
        <f t="array" ref="I8">INDEX(TotalRevenue,MATCH(1,('Forecasts &amp; Assumptions'!C2=Ticker_Symbol)*('Forecasts &amp; Assumptions'!I7=Year),0))</f>
        <v>7729000000</v>
      </c>
      <c r="J8" s="54">
        <f ca="1">I8*(J21+1)</f>
        <v>6698344188.2576656</v>
      </c>
      <c r="K8" s="55">
        <f ca="1">J8*(K21+1)</f>
        <v>6453344023.2646313</v>
      </c>
      <c r="M8" s="18"/>
      <c r="N8" s="19" t="s">
        <v>587</v>
      </c>
      <c r="O8" s="20">
        <f>MEDIAN(G21:I21)</f>
        <v>-0.13334917993819828</v>
      </c>
      <c r="P8" s="20">
        <f>O8+_xlfn.STDEV.P(G21:I21)</f>
        <v>-3.6576228110601572E-2</v>
      </c>
      <c r="Q8" s="18"/>
    </row>
    <row r="9" spans="2:26" x14ac:dyDescent="0.25">
      <c r="C9" s="87" t="s">
        <v>581</v>
      </c>
      <c r="D9" s="115"/>
      <c r="E9" s="115"/>
      <c r="F9" s="41" cm="1">
        <f t="array" ref="F9">INDEX(Cost_of_Goods_Sold,MATCH(1,('Forecasts &amp; Assumptions'!C2=Ticker_Symbol)*('Forecasts &amp; Assumptions'!F7=Year),0))</f>
        <v>4334000000</v>
      </c>
      <c r="G9" s="41" cm="1">
        <f t="array" ref="G9">INDEX(Cost_of_Goods_Sold,MATCH(1,('Forecasts &amp; Assumptions'!C2=Ticker_Symbol)*('Forecasts &amp; Assumptions'!G7=Year),0))</f>
        <v>5299000000</v>
      </c>
      <c r="H9" s="41" cm="1">
        <f t="array" ref="H9">INDEX(Cost_of_Goods_Sold,MATCH(1,('Forecasts &amp; Assumptions'!C2=Ticker_Symbol)*('Forecasts &amp; Assumptions'!H7=Year),0))</f>
        <v>4457000000</v>
      </c>
      <c r="I9" s="41" cm="1">
        <f t="array" ref="I9">INDEX(Cost_of_Goods_Sold,MATCH(1,('Forecasts &amp; Assumptions'!C2=Ticker_Symbol)*('Forecasts &amp; Assumptions'!I7=Year),0))</f>
        <v>4312000000</v>
      </c>
      <c r="J9" s="42"/>
      <c r="K9" s="43"/>
      <c r="M9" s="18"/>
      <c r="N9" s="19" t="s">
        <v>595</v>
      </c>
      <c r="O9" s="20">
        <f>MIN(G21:I21)</f>
        <v>-0.15556001605780811</v>
      </c>
      <c r="P9" s="20">
        <f>O9+_xlfn.STDEV.P(G21:I21)</f>
        <v>-5.8787064230211405E-2</v>
      </c>
      <c r="Q9" s="18"/>
    </row>
    <row r="10" spans="2:26" x14ac:dyDescent="0.25">
      <c r="C10" s="97" t="s">
        <v>582</v>
      </c>
      <c r="D10" s="122"/>
      <c r="E10" s="122"/>
      <c r="F10" s="53">
        <f>F8-F9</f>
        <v>5630000000</v>
      </c>
      <c r="G10" s="53">
        <f>G8-G9</f>
        <v>3115000000</v>
      </c>
      <c r="H10" s="53">
        <f t="shared" ref="H10:I10" si="0">H8-H9</f>
        <v>2835000000</v>
      </c>
      <c r="I10" s="53">
        <f t="shared" si="0"/>
        <v>3417000000</v>
      </c>
      <c r="J10" s="54">
        <f ca="1">J8*J22</f>
        <v>2782771511.7661037</v>
      </c>
      <c r="K10" s="55">
        <f ca="1">K8*K22</f>
        <v>2839471370.2364378</v>
      </c>
      <c r="M10" s="18"/>
      <c r="N10" s="24" t="s">
        <v>596</v>
      </c>
      <c r="O10" s="25"/>
      <c r="P10" s="25"/>
      <c r="Q10" s="26"/>
    </row>
    <row r="11" spans="2:26" x14ac:dyDescent="0.25">
      <c r="C11" s="87" t="s">
        <v>5</v>
      </c>
      <c r="D11" s="115"/>
      <c r="E11" s="115"/>
      <c r="F11" s="41" cm="1">
        <f t="array" ref="F11">INDEX(Sales_General_and_Admin,MATCH(1,('Forecasts &amp; Assumptions'!C2=Ticker_Symbol)*('Forecasts &amp; Assumptions'!F7=Year),0))</f>
        <v>757000000</v>
      </c>
      <c r="G11" s="41" cm="1">
        <f t="array" ref="G11">INDEX(Sales_General_and_Admin,MATCH(1,('Forecasts &amp; Assumptions'!C2=Ticker_Symbol)*('Forecasts &amp; Assumptions'!G7=Year),0))</f>
        <v>584000000</v>
      </c>
      <c r="H11" s="41" cm="1">
        <f t="array" ref="H11">INDEX(Sales_General_and_Admin,MATCH(1,('Forecasts &amp; Assumptions'!C2=Ticker_Symbol)*('Forecasts &amp; Assumptions'!H7=Year),0))</f>
        <v>545000000</v>
      </c>
      <c r="I11" s="41" cm="1">
        <f t="array" ref="I11">INDEX(Sales_General_and_Admin,MATCH(1,('Forecasts &amp; Assumptions'!C2=Ticker_Symbol)*('Forecasts &amp; Assumptions'!I7=Year),0))</f>
        <v>670000000</v>
      </c>
      <c r="J11" s="42"/>
      <c r="K11" s="43"/>
      <c r="M11" s="18"/>
      <c r="N11" s="19"/>
      <c r="O11" t="s">
        <v>592</v>
      </c>
      <c r="P11" t="s">
        <v>593</v>
      </c>
      <c r="Q11" s="18"/>
    </row>
    <row r="12" spans="2:26" x14ac:dyDescent="0.25">
      <c r="C12" s="87" t="s">
        <v>6</v>
      </c>
      <c r="D12" s="115"/>
      <c r="E12" s="115"/>
      <c r="F12" s="56" cm="1">
        <f t="array" ref="F12">INDEX(R_and_D,MATCH(1,('Forecasts &amp; Assumptions'!C2=Ticker_Symbol)*('Forecasts &amp; Assumptions'!F7=Year),0))</f>
        <v>704000000</v>
      </c>
      <c r="G12" s="56" cm="1">
        <f t="array" ref="G12">INDEX(R_and_D,MATCH(1,('Forecasts &amp; Assumptions'!C2=Ticker_Symbol)*('Forecasts &amp; Assumptions'!G7=Year),0))</f>
        <v>469000000</v>
      </c>
      <c r="H12" s="56" cm="1">
        <f t="array" ref="H12">INDEX(R_and_D,MATCH(1,('Forecasts &amp; Assumptions'!C2=Ticker_Symbol)*('Forecasts &amp; Assumptions'!H7=Year),0))</f>
        <v>325000000</v>
      </c>
      <c r="I12" s="56" cm="1">
        <f t="array" ref="I12">INDEX(R_and_D,MATCH(1,('Forecasts &amp; Assumptions'!C2=Ticker_Symbol)*('Forecasts &amp; Assumptions'!I7=Year),0))</f>
        <v>289000000</v>
      </c>
      <c r="J12" s="42"/>
      <c r="K12" s="43"/>
      <c r="M12" s="18"/>
      <c r="N12" s="19" t="s">
        <v>594</v>
      </c>
      <c r="O12" s="20">
        <f>MAX(F22:I22)</f>
        <v>0.56503412284223198</v>
      </c>
      <c r="P12" s="30">
        <v>0.6</v>
      </c>
      <c r="Q12" s="18"/>
    </row>
    <row r="13" spans="2:26" x14ac:dyDescent="0.25">
      <c r="C13" s="87" t="s">
        <v>583</v>
      </c>
      <c r="D13" s="115"/>
      <c r="E13" s="115"/>
      <c r="F13" s="41" cm="1">
        <f t="array" ref="F13">INDEX(Other_Operating_Items,MATCH(1,('Forecasts &amp; Assumptions'!C2=Ticker_Symbol)*('Forecasts &amp; Assumptions'!F7=Year),0))</f>
        <v>1032000000</v>
      </c>
      <c r="G13" s="41" cm="1">
        <f t="array" ref="G13">INDEX(Other_Operating_Items,MATCH(1,('Forecasts &amp; Assumptions'!C2=Ticker_Symbol)*('Forecasts &amp; Assumptions'!G7=Year),0))</f>
        <v>1362000000</v>
      </c>
      <c r="H13" s="41" cm="1">
        <f t="array" ref="H13">INDEX(Other_Operating_Items,MATCH(1,('Forecasts &amp; Assumptions'!C2=Ticker_Symbol)*('Forecasts &amp; Assumptions'!H7=Year),0))</f>
        <v>1229000000</v>
      </c>
      <c r="I13" s="41" cm="1">
        <f t="array" ref="I13">INDEX(Other_Operating_Items,MATCH(1,('Forecasts &amp; Assumptions'!C2=Ticker_Symbol)*('Forecasts &amp; Assumptions'!I7=Year),0))</f>
        <v>1239000000</v>
      </c>
      <c r="J13" s="42"/>
      <c r="K13" s="43"/>
      <c r="M13" s="18"/>
      <c r="N13" s="19" t="s">
        <v>587</v>
      </c>
      <c r="O13" s="20">
        <f>MEDIAN(F22:I22)</f>
        <v>0.41544170224103433</v>
      </c>
      <c r="P13" s="30">
        <v>0.44</v>
      </c>
      <c r="Q13" s="18"/>
    </row>
    <row r="14" spans="2:26" x14ac:dyDescent="0.25">
      <c r="C14" s="87" t="s">
        <v>584</v>
      </c>
      <c r="D14" s="115"/>
      <c r="E14" s="115"/>
      <c r="F14" s="56">
        <f>F11+F12+F13</f>
        <v>2493000000</v>
      </c>
      <c r="G14" s="56">
        <f>G11+G12+G13</f>
        <v>2415000000</v>
      </c>
      <c r="H14" s="56">
        <f t="shared" ref="H14:I14" si="1">H11+H12+H13</f>
        <v>2099000000</v>
      </c>
      <c r="I14" s="56">
        <f t="shared" si="1"/>
        <v>2198000000</v>
      </c>
      <c r="J14" s="42"/>
      <c r="K14" s="43"/>
      <c r="M14" s="18"/>
      <c r="N14" s="19" t="s">
        <v>595</v>
      </c>
      <c r="O14" s="20">
        <f>MIN(F22:I22)</f>
        <v>0.37021630615640599</v>
      </c>
      <c r="P14" s="31">
        <v>0.37</v>
      </c>
      <c r="Q14" s="18"/>
    </row>
    <row r="15" spans="2:26" x14ac:dyDescent="0.25">
      <c r="C15" s="113" t="s">
        <v>585</v>
      </c>
      <c r="D15" s="114"/>
      <c r="E15" s="114"/>
      <c r="F15" s="44">
        <f>F10-F14</f>
        <v>3137000000</v>
      </c>
      <c r="G15" s="44">
        <f>G10-G14</f>
        <v>700000000</v>
      </c>
      <c r="H15" s="44">
        <f>H10-H14</f>
        <v>736000000</v>
      </c>
      <c r="I15" s="44">
        <f>I10-I14</f>
        <v>1219000000</v>
      </c>
      <c r="J15" s="45">
        <f ca="1">J8*J23</f>
        <v>866264083.67007363</v>
      </c>
      <c r="K15" s="46">
        <f ca="1">K8*K23</f>
        <v>1226135364.42028</v>
      </c>
      <c r="M15" s="18"/>
      <c r="N15" s="24" t="s">
        <v>597</v>
      </c>
      <c r="O15" s="25"/>
      <c r="P15" s="29"/>
      <c r="Q15" s="26"/>
    </row>
    <row r="16" spans="2:26" x14ac:dyDescent="0.25">
      <c r="M16" s="18"/>
      <c r="N16" s="19"/>
      <c r="O16" t="s">
        <v>592</v>
      </c>
      <c r="P16" t="s">
        <v>593</v>
      </c>
      <c r="Q16" s="18"/>
    </row>
    <row r="17" spans="3:17" x14ac:dyDescent="0.25">
      <c r="M17" s="18"/>
      <c r="N17" s="19" t="s">
        <v>594</v>
      </c>
      <c r="O17" s="20">
        <f>MAX(F23:I23)</f>
        <v>0.31483340024086715</v>
      </c>
      <c r="P17" s="30">
        <v>0.42</v>
      </c>
      <c r="Q17" s="18"/>
    </row>
    <row r="18" spans="3:17" x14ac:dyDescent="0.25">
      <c r="C18" s="110" t="s">
        <v>598</v>
      </c>
      <c r="D18" s="111"/>
      <c r="E18" s="111"/>
      <c r="F18" s="111"/>
      <c r="G18" s="111"/>
      <c r="H18" s="111"/>
      <c r="I18" s="111"/>
      <c r="J18" s="111"/>
      <c r="K18" s="112"/>
      <c r="M18" s="18"/>
      <c r="N18" s="19" t="s">
        <v>587</v>
      </c>
      <c r="O18" s="20">
        <f>MEDIAN(F23:I23)</f>
        <v>0.12932510771671785</v>
      </c>
      <c r="P18" s="30">
        <v>0.19</v>
      </c>
      <c r="Q18" s="18"/>
    </row>
    <row r="19" spans="3:17" ht="15.75" thickBot="1" x14ac:dyDescent="0.3">
      <c r="C19" s="19"/>
      <c r="F19" s="130" t="s">
        <v>579</v>
      </c>
      <c r="G19" s="130"/>
      <c r="H19" s="130"/>
      <c r="I19" s="130"/>
      <c r="J19" s="108" t="s">
        <v>599</v>
      </c>
      <c r="K19" s="109"/>
      <c r="M19" s="18"/>
      <c r="N19" s="21" t="s">
        <v>595</v>
      </c>
      <c r="O19" s="22">
        <f>MIN(F23:I23)</f>
        <v>8.3194675540765387E-2</v>
      </c>
      <c r="P19" s="32">
        <v>0.14000000000000001</v>
      </c>
      <c r="Q19" s="23"/>
    </row>
    <row r="20" spans="3:17" ht="15.75" thickTop="1" x14ac:dyDescent="0.25">
      <c r="C20" s="19"/>
      <c r="F20" s="5" t="s">
        <v>11</v>
      </c>
      <c r="G20" s="5" t="s">
        <v>15</v>
      </c>
      <c r="H20" s="5" t="s">
        <v>16</v>
      </c>
      <c r="I20" s="5" t="s">
        <v>17</v>
      </c>
      <c r="J20" s="27" t="s">
        <v>592</v>
      </c>
      <c r="K20" s="37" t="s">
        <v>593</v>
      </c>
    </row>
    <row r="21" spans="3:17" x14ac:dyDescent="0.25">
      <c r="C21" s="87" t="s">
        <v>590</v>
      </c>
      <c r="D21" s="115"/>
      <c r="E21" s="115"/>
      <c r="G21" s="67">
        <f>(G8/F8)-1</f>
        <v>-0.15556001605780811</v>
      </c>
      <c r="H21" s="67">
        <f>(H8/G8)-1</f>
        <v>-0.13334917993819828</v>
      </c>
      <c r="I21" s="67">
        <f>(I8/H8)-1</f>
        <v>5.9928688974218325E-2</v>
      </c>
      <c r="J21" s="28">
        <f ca="1">OFFSET(O6,MATCH(N2,Scenarios,0),0)</f>
        <v>-0.13334917993819828</v>
      </c>
      <c r="K21" s="38">
        <f ca="1">OFFSET(O6,MATCH(N2,Scenarios,0),1)</f>
        <v>-3.6576228110601572E-2</v>
      </c>
    </row>
    <row r="22" spans="3:17" x14ac:dyDescent="0.25">
      <c r="C22" s="87" t="s">
        <v>600</v>
      </c>
      <c r="D22" s="115"/>
      <c r="E22" s="115"/>
      <c r="F22" s="47">
        <f>1-(F9/F8)</f>
        <v>0.56503412284223198</v>
      </c>
      <c r="G22" s="47">
        <f>1-(G9/G8)</f>
        <v>0.37021630615640599</v>
      </c>
      <c r="H22" s="47">
        <f>1-(H9/H8)</f>
        <v>0.38878222709818977</v>
      </c>
      <c r="I22" s="47">
        <f>1-(I9/I8)</f>
        <v>0.44210117738387888</v>
      </c>
      <c r="J22" s="48">
        <f ca="1">OFFSET(O11,MATCH(N2,N12:N14,0),0)</f>
        <v>0.41544170224103433</v>
      </c>
      <c r="K22" s="49">
        <f ca="1">OFFSET(O11,MATCH(N2,N12:N14,0),1)</f>
        <v>0.44</v>
      </c>
    </row>
    <row r="23" spans="3:17" x14ac:dyDescent="0.25">
      <c r="C23" s="142" t="s">
        <v>601</v>
      </c>
      <c r="D23" s="135"/>
      <c r="E23" s="135"/>
      <c r="F23" s="50">
        <f>F15/F8</f>
        <v>0.31483340024086715</v>
      </c>
      <c r="G23" s="50">
        <f>G15/G8</f>
        <v>8.3194675540765387E-2</v>
      </c>
      <c r="H23" s="50">
        <f>H15/H8</f>
        <v>0.10093252879868349</v>
      </c>
      <c r="I23" s="50">
        <f>I15/I8</f>
        <v>0.15771768663475222</v>
      </c>
      <c r="J23" s="51">
        <f ca="1">OFFSET(O16,MATCH(N2,N17:N19,0),0)</f>
        <v>0.12932510771671785</v>
      </c>
      <c r="K23" s="52">
        <f ca="1">OFFSET(O16,MATCH(N2,N17:N19,0),1)</f>
        <v>0.19</v>
      </c>
    </row>
    <row r="26" spans="3:17" ht="15.75" thickBot="1" x14ac:dyDescent="0.3">
      <c r="C26" s="131" t="s">
        <v>602</v>
      </c>
      <c r="D26" s="132"/>
      <c r="E26" s="132"/>
      <c r="F26" s="132"/>
      <c r="G26" s="133"/>
    </row>
    <row r="27" spans="3:17" x14ac:dyDescent="0.25">
      <c r="C27" s="33"/>
      <c r="F27" s="39" t="s">
        <v>410</v>
      </c>
      <c r="G27" s="40" t="s">
        <v>419</v>
      </c>
    </row>
    <row r="28" spans="3:17" x14ac:dyDescent="0.25">
      <c r="C28" s="138" t="s">
        <v>603</v>
      </c>
      <c r="D28" s="115"/>
      <c r="E28" s="115"/>
      <c r="F28" s="2">
        <f>AVERAGE('GICS Sub Industry'!G3:G6)</f>
        <v>8349750000</v>
      </c>
      <c r="G28" s="34">
        <f>AVERAGE('GICS Sub Industry'!G7:G10)</f>
        <v>19006434000</v>
      </c>
    </row>
    <row r="29" spans="3:17" x14ac:dyDescent="0.25">
      <c r="C29" s="138" t="s">
        <v>604</v>
      </c>
      <c r="D29" s="115"/>
      <c r="E29" s="115"/>
      <c r="F29" s="2">
        <f>MEDIAN('GICS Sub Industry'!G3:G6)</f>
        <v>8071500000</v>
      </c>
      <c r="G29" s="34">
        <f>MEDIAN('GICS Sub Industry'!G7:G10)</f>
        <v>19240659500</v>
      </c>
    </row>
    <row r="30" spans="3:17" x14ac:dyDescent="0.25">
      <c r="C30" s="138" t="s">
        <v>605</v>
      </c>
      <c r="D30" s="115"/>
      <c r="E30" s="115"/>
      <c r="F30" s="2">
        <f>MAX('GICS Sub Industry'!G3:G6)-MIN('GICS Sub Industry'!G3:G6)</f>
        <v>2672000000</v>
      </c>
      <c r="G30" s="34">
        <f>MAX('GICS Sub Industry'!G7:G10)-MIN('GICS Sub Industry'!G7:G10)</f>
        <v>4665865000</v>
      </c>
    </row>
    <row r="31" spans="3:17" x14ac:dyDescent="0.25">
      <c r="C31" s="134" t="s">
        <v>606</v>
      </c>
      <c r="D31" s="135"/>
      <c r="E31" s="135"/>
      <c r="F31" s="35">
        <f>_xlfn.STDEV.P('GICS Sub Industry'!G3:G6)</f>
        <v>1014161815.2444881</v>
      </c>
      <c r="G31" s="36">
        <f>_xlfn.STDEV.P('GICS Sub Industry'!G7:G10)</f>
        <v>1671507145.0100057</v>
      </c>
    </row>
    <row r="34" spans="3:13" ht="15.75" thickBot="1" x14ac:dyDescent="0.3">
      <c r="C34" s="131" t="s">
        <v>607</v>
      </c>
      <c r="D34" s="132"/>
      <c r="E34" s="132"/>
      <c r="F34" s="132"/>
      <c r="G34" s="133"/>
    </row>
    <row r="35" spans="3:13" x14ac:dyDescent="0.25">
      <c r="C35" s="136"/>
      <c r="D35" s="137"/>
      <c r="E35" s="137"/>
      <c r="F35" s="39" t="s">
        <v>410</v>
      </c>
      <c r="G35" s="40" t="s">
        <v>419</v>
      </c>
    </row>
    <row r="36" spans="3:13" x14ac:dyDescent="0.25">
      <c r="C36" s="138" t="s">
        <v>603</v>
      </c>
      <c r="D36" s="115"/>
      <c r="E36" s="115"/>
      <c r="F36" s="57">
        <v>1448000000</v>
      </c>
      <c r="G36" s="58">
        <v>1127338250</v>
      </c>
    </row>
    <row r="37" spans="3:13" x14ac:dyDescent="0.25">
      <c r="C37" s="138" t="s">
        <v>604</v>
      </c>
      <c r="D37" s="115"/>
      <c r="E37" s="115"/>
      <c r="F37" s="57">
        <v>977500000</v>
      </c>
      <c r="G37" s="58">
        <v>1090455500</v>
      </c>
    </row>
    <row r="38" spans="3:13" ht="15.75" thickBot="1" x14ac:dyDescent="0.3">
      <c r="C38" s="138" t="s">
        <v>605</v>
      </c>
      <c r="D38" s="115"/>
      <c r="E38" s="115"/>
      <c r="F38" s="57">
        <v>2437000000</v>
      </c>
      <c r="G38" s="58">
        <v>443000000</v>
      </c>
      <c r="L38" s="61"/>
      <c r="M38" s="61"/>
    </row>
    <row r="39" spans="3:13" ht="15.75" thickBot="1" x14ac:dyDescent="0.3">
      <c r="C39" s="134" t="s">
        <v>606</v>
      </c>
      <c r="D39" s="135"/>
      <c r="E39" s="135"/>
      <c r="F39" s="59">
        <v>996444930.74128282</v>
      </c>
      <c r="G39" s="60">
        <v>162473502.14938852</v>
      </c>
      <c r="I39" s="139" t="s">
        <v>607</v>
      </c>
      <c r="J39" s="140"/>
      <c r="K39" s="141"/>
    </row>
    <row r="40" spans="3:13" x14ac:dyDescent="0.25">
      <c r="I40" s="8" t="s">
        <v>608</v>
      </c>
      <c r="J40" s="39" t="s">
        <v>410</v>
      </c>
      <c r="K40" s="62" t="s">
        <v>419</v>
      </c>
    </row>
    <row r="41" spans="3:13" x14ac:dyDescent="0.25">
      <c r="I41" s="8">
        <v>2012</v>
      </c>
      <c r="J41" s="57">
        <v>3137000000</v>
      </c>
      <c r="K41" s="63">
        <v>1058638000</v>
      </c>
    </row>
    <row r="42" spans="3:13" x14ac:dyDescent="0.25">
      <c r="I42" s="8">
        <v>2013</v>
      </c>
      <c r="J42" s="57">
        <v>700000000</v>
      </c>
      <c r="K42" s="63">
        <v>942721000</v>
      </c>
    </row>
    <row r="43" spans="3:13" x14ac:dyDescent="0.25">
      <c r="I43" s="8">
        <v>2014</v>
      </c>
      <c r="J43" s="57">
        <v>736000000</v>
      </c>
      <c r="K43" s="63">
        <v>1385721000</v>
      </c>
    </row>
    <row r="44" spans="3:13" ht="15.75" thickBot="1" x14ac:dyDescent="0.3">
      <c r="I44" s="9">
        <v>2015</v>
      </c>
      <c r="J44" s="64">
        <v>1219000000</v>
      </c>
      <c r="K44" s="65">
        <v>1122273000</v>
      </c>
    </row>
    <row r="45" spans="3:13" x14ac:dyDescent="0.25">
      <c r="L45" s="57"/>
    </row>
    <row r="46" spans="3:13" x14ac:dyDescent="0.25">
      <c r="I46" s="57"/>
      <c r="J46" s="57"/>
      <c r="K46" s="57"/>
    </row>
    <row r="53" spans="6:12" x14ac:dyDescent="0.25">
      <c r="L53" s="56"/>
    </row>
    <row r="54" spans="6:12" x14ac:dyDescent="0.25">
      <c r="F54" s="101"/>
      <c r="G54" s="101"/>
      <c r="H54" s="101"/>
      <c r="I54" s="56"/>
      <c r="J54" s="56"/>
      <c r="K54" s="56"/>
    </row>
  </sheetData>
  <mergeCells count="36">
    <mergeCell ref="C28:E28"/>
    <mergeCell ref="C29:E29"/>
    <mergeCell ref="C30:E30"/>
    <mergeCell ref="C21:E21"/>
    <mergeCell ref="C22:E22"/>
    <mergeCell ref="C23:E23"/>
    <mergeCell ref="F54:H54"/>
    <mergeCell ref="C11:E11"/>
    <mergeCell ref="C10:E10"/>
    <mergeCell ref="C9:E9"/>
    <mergeCell ref="C12:E12"/>
    <mergeCell ref="C26:G26"/>
    <mergeCell ref="C31:E31"/>
    <mergeCell ref="F19:I19"/>
    <mergeCell ref="C34:G34"/>
    <mergeCell ref="C39:E39"/>
    <mergeCell ref="C35:E35"/>
    <mergeCell ref="C36:E36"/>
    <mergeCell ref="C37:E37"/>
    <mergeCell ref="C38:E38"/>
    <mergeCell ref="C13:E13"/>
    <mergeCell ref="I39:K39"/>
    <mergeCell ref="N5:Q5"/>
    <mergeCell ref="N4:Q4"/>
    <mergeCell ref="C5:K5"/>
    <mergeCell ref="J6:K6"/>
    <mergeCell ref="F6:I6"/>
    <mergeCell ref="B2:B3"/>
    <mergeCell ref="H3:I4"/>
    <mergeCell ref="J19:K19"/>
    <mergeCell ref="C18:K18"/>
    <mergeCell ref="C15:E15"/>
    <mergeCell ref="C14:E14"/>
    <mergeCell ref="F3:G4"/>
    <mergeCell ref="C2:C3"/>
    <mergeCell ref="C8:E8"/>
  </mergeCells>
  <dataValidations count="1">
    <dataValidation type="list" allowBlank="1" showInputMessage="1" showErrorMessage="1" sqref="N2">
      <formula1>Scenarios</formula1>
    </dataValidation>
  </dataValidations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'GICS Sub Industry'!$D$13:$D$14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Source</vt:lpstr>
      <vt:lpstr>GICS Sub Industry</vt:lpstr>
      <vt:lpstr>Profit &amp; Loss Statement</vt:lpstr>
      <vt:lpstr>Forecasts &amp; Assumptions</vt:lpstr>
      <vt:lpstr>Cost_of_Goods_Sold</vt:lpstr>
      <vt:lpstr>GICS_Sub_Industry</vt:lpstr>
      <vt:lpstr>Other_Operating_Items</vt:lpstr>
      <vt:lpstr>R_and_D</vt:lpstr>
      <vt:lpstr>Research_and_Development</vt:lpstr>
      <vt:lpstr>Sales_General_and_Admin</vt:lpstr>
      <vt:lpstr>Scenarios</vt:lpstr>
      <vt:lpstr>Ticker_Symbol</vt:lpstr>
      <vt:lpstr>TotalRevenue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2023-07-04T11:00:41Z</dcterms:created>
  <dcterms:modified xsi:type="dcterms:W3CDTF">2024-10-14T10:02:58Z</dcterms:modified>
  <cp:category/>
  <cp:contentStatus/>
</cp:coreProperties>
</file>